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igorshva/Desktop/Projects/Pricing Estimator - Metering Change/"/>
    </mc:Choice>
  </mc:AlternateContent>
  <xr:revisionPtr revIDLastSave="0" documentId="13_ncr:1_{DDBE9E88-948C-5349-95B2-ABD90ECD849B}" xr6:coauthVersionLast="47" xr6:coauthVersionMax="47" xr10:uidLastSave="{00000000-0000-0000-0000-000000000000}"/>
  <bookViews>
    <workbookView xWindow="-9160" yWindow="-27800" windowWidth="45800" windowHeight="23720" xr2:uid="{42D80B9C-CB3F-2D41-AB27-07A003631B4A}"/>
  </bookViews>
  <sheets>
    <sheet name="Pricing estimator" sheetId="3" r:id="rId1"/>
    <sheet name="Writes estimator" sheetId="1" r:id="rId2"/>
    <sheet name="Cost" sheetId="4" state="hidden" r:id="rId3"/>
    <sheet name="Conversion table"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8" i="1" l="1"/>
  <c r="B21" i="1"/>
  <c r="E10" i="3" l="1"/>
  <c r="G10" i="1"/>
  <c r="H11" i="1"/>
  <c r="G17" i="3" s="1"/>
  <c r="G18" i="3" s="1"/>
  <c r="H10" i="1"/>
  <c r="H5" i="1"/>
  <c r="G4" i="1"/>
  <c r="F11" i="3" s="1"/>
  <c r="H4" i="1"/>
  <c r="G11" i="3" s="1"/>
  <c r="G12" i="3" s="1"/>
  <c r="Y6" i="2"/>
  <c r="Y5" i="2"/>
  <c r="V26" i="2"/>
  <c r="V25" i="2"/>
  <c r="V24" i="2"/>
  <c r="V23" i="2"/>
  <c r="V22" i="2"/>
  <c r="V21" i="2"/>
  <c r="V20" i="2"/>
  <c r="V19" i="2"/>
  <c r="V17" i="2"/>
  <c r="V16" i="2"/>
  <c r="V15" i="2"/>
  <c r="V14" i="2"/>
  <c r="V13" i="2"/>
  <c r="V12" i="2"/>
  <c r="V9" i="2"/>
  <c r="V8" i="2"/>
  <c r="V7" i="2"/>
  <c r="V6" i="2"/>
  <c r="V5" i="2"/>
  <c r="O6" i="2"/>
  <c r="R7" i="2"/>
  <c r="R6" i="2"/>
  <c r="O5" i="2"/>
  <c r="L3" i="2"/>
  <c r="C3" i="2"/>
  <c r="C4" i="2"/>
  <c r="C5" i="2"/>
  <c r="C6" i="2"/>
  <c r="I5" i="2"/>
  <c r="F5" i="2"/>
  <c r="B7" i="2"/>
  <c r="C7" i="2" s="1"/>
  <c r="B8" i="2"/>
  <c r="C8" i="2" s="1"/>
  <c r="B30" i="1" l="1"/>
  <c r="F36" i="3" s="1"/>
  <c r="F27" i="3"/>
  <c r="F28" i="3"/>
  <c r="G5" i="1"/>
  <c r="G6" i="1" s="1"/>
  <c r="G7" i="1" s="1"/>
  <c r="G11" i="1"/>
  <c r="G12" i="1" s="1"/>
  <c r="G13" i="1" s="1"/>
  <c r="F17" i="3"/>
  <c r="F30" i="3" s="1"/>
  <c r="F12" i="3" l="1"/>
  <c r="F13" i="3" s="1"/>
  <c r="F18" i="3"/>
  <c r="F19" i="3" s="1"/>
  <c r="F20" i="3" s="1"/>
  <c r="F29" i="3"/>
  <c r="J8" i="3" l="1"/>
  <c r="L8" i="3" s="1"/>
  <c r="F14" i="3"/>
  <c r="F35" i="3" s="1"/>
  <c r="J7" i="3" s="1"/>
  <c r="F23" i="3" l="1"/>
  <c r="J9" i="3" s="1"/>
  <c r="L9" i="3" s="1"/>
  <c r="F24" i="3"/>
  <c r="J10" i="3" s="1"/>
  <c r="L10" i="3" s="1"/>
  <c r="L7" i="3"/>
  <c r="L11" i="3" l="1"/>
</calcChain>
</file>

<file path=xl/sharedStrings.xml><?xml version="1.0" encoding="utf-8"?>
<sst xmlns="http://schemas.openxmlformats.org/spreadsheetml/2006/main" count="304" uniqueCount="97">
  <si>
    <t>Number of dimensions</t>
  </si>
  <si>
    <t>instance name, availability zone, and region</t>
  </si>
  <si>
    <t>Measures</t>
  </si>
  <si>
    <t>Number of bigint, double, timestamp measures</t>
  </si>
  <si>
    <t>Dimensions</t>
  </si>
  <si>
    <t>Number of boolean measures</t>
  </si>
  <si>
    <t>Number of varchar measures</t>
  </si>
  <si>
    <t>Batch data</t>
  </si>
  <si>
    <t>yes</t>
  </si>
  <si>
    <t>Batch size</t>
  </si>
  <si>
    <t>Record type</t>
  </si>
  <si>
    <t>bytes</t>
  </si>
  <si>
    <t>Number of records</t>
  </si>
  <si>
    <t>Data throughput</t>
  </si>
  <si>
    <t>per week</t>
  </si>
  <si>
    <t>per month</t>
  </si>
  <si>
    <t>day</t>
  </si>
  <si>
    <t>per day</t>
  </si>
  <si>
    <t>per hour</t>
  </si>
  <si>
    <t>per minute</t>
  </si>
  <si>
    <t>per second</t>
  </si>
  <si>
    <t>Unit</t>
  </si>
  <si>
    <t>Approx size of each dimension value</t>
  </si>
  <si>
    <t>Approx size of each varchar measure value</t>
  </si>
  <si>
    <t xml:space="preserve">Record(s) size </t>
  </si>
  <si>
    <t>Records</t>
  </si>
  <si>
    <t>Writes</t>
  </si>
  <si>
    <t>Record size</t>
  </si>
  <si>
    <t>GB</t>
  </si>
  <si>
    <t>records</t>
  </si>
  <si>
    <t>% repeated data per batch</t>
  </si>
  <si>
    <t>Storage</t>
  </si>
  <si>
    <t>Memory store retention</t>
  </si>
  <si>
    <t>Magnetic store retention</t>
  </si>
  <si>
    <t>Memory store usage (GB-hour)</t>
  </si>
  <si>
    <t>Magnetic store usage (GB-month)</t>
  </si>
  <si>
    <t>Queries</t>
  </si>
  <si>
    <t>Number of dashboarding queries</t>
  </si>
  <si>
    <t>Number of ad-hoc queries</t>
  </si>
  <si>
    <t>Number of queries</t>
  </si>
  <si>
    <t>hours</t>
  </si>
  <si>
    <t>days</t>
  </si>
  <si>
    <t>months</t>
  </si>
  <si>
    <t>Day</t>
  </si>
  <si>
    <t>Hour</t>
  </si>
  <si>
    <t>Month</t>
  </si>
  <si>
    <t>minutes</t>
  </si>
  <si>
    <t>Europe (Ireland)</t>
  </si>
  <si>
    <t>US West (Oregon)</t>
  </si>
  <si>
    <t>US East (Ohio)</t>
  </si>
  <si>
    <t>US East (N. Virginia)</t>
  </si>
  <si>
    <t>region</t>
  </si>
  <si>
    <t>Price</t>
  </si>
  <si>
    <t>Operation</t>
  </si>
  <si>
    <t>Region</t>
  </si>
  <si>
    <t>Usage</t>
  </si>
  <si>
    <t>Cost</t>
  </si>
  <si>
    <t>Memory store</t>
  </si>
  <si>
    <t>Magnetic store</t>
  </si>
  <si>
    <t>MM</t>
  </si>
  <si>
    <t>GB-hour</t>
  </si>
  <si>
    <t>GB-month</t>
  </si>
  <si>
    <t>Europe (Frankfurt)</t>
  </si>
  <si>
    <t>Record details</t>
  </si>
  <si>
    <t>High throughput memory store writes</t>
  </si>
  <si>
    <t>Magnetic store writes</t>
  </si>
  <si>
    <t>Writes (requests)</t>
  </si>
  <si>
    <t>Writes (GB)</t>
  </si>
  <si>
    <t>Text</t>
  </si>
  <si>
    <t>Use the information below to estimate the record size and data throughput</t>
  </si>
  <si>
    <t>Estimated writes</t>
  </si>
  <si>
    <t>Duration</t>
  </si>
  <si>
    <t>Factor</t>
  </si>
  <si>
    <t>Estimated monthly bill</t>
  </si>
  <si>
    <t>Monthly spend estimate</t>
  </si>
  <si>
    <t>This tool provides an estimate of charges for AWS services based on certain information you provide. Monthly charges will be based on your actual usage of AWS and may vary from the estimates provided by this tool. Prices effective as of Oct 1, 2020.</t>
  </si>
  <si>
    <t>AMAZON TIMESTREAM PRICING ESTIMATOR</t>
  </si>
  <si>
    <t>Use the writes estimator (next sheet) to estimate record size and data throughput</t>
  </si>
  <si>
    <t>Number of alerting or point-in-time queries</t>
  </si>
  <si>
    <t>To estimate the cost of writes, you can either use the "Writes estimator" (on the next sheet) to build your time series record, or simply specify the record size below if you have it.</t>
  </si>
  <si>
    <t xml:space="preserve">      200 EC2 instances</t>
  </si>
  <si>
    <t>Total size of dimensions</t>
  </si>
  <si>
    <t>Total size of measures</t>
  </si>
  <si>
    <t>multi-measure record</t>
  </si>
  <si>
    <t>Average time range of data queried by dashboarding queries</t>
  </si>
  <si>
    <t>Average time range of data queried by ad-hoc queries</t>
  </si>
  <si>
    <t>Data scanned (GB) - alerting queries</t>
  </si>
  <si>
    <t>Data scanned (GB) - dashboarding queries</t>
  </si>
  <si>
    <t>Data scanned (GB) - ad-hoc queries</t>
  </si>
  <si>
    <t>Data scanned (GB) - queries on scheduled computations</t>
  </si>
  <si>
    <t xml:space="preserve">video startup time, rebuffering ratio, video playback failures, and average
frame rate) </t>
  </si>
  <si>
    <t>Scheduled Queries</t>
  </si>
  <si>
    <t>Average time range of data queried by scheduled queries</t>
  </si>
  <si>
    <t>Scheduled queries - writes (GB)</t>
  </si>
  <si>
    <t>Scheduled queries - queries (GB)</t>
  </si>
  <si>
    <t>Asia Pacific (Sydney)</t>
  </si>
  <si>
    <t>Asia Pacific (Tokyo)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</si>
</sst>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71" formatCode="_(&quot;$&quot;* #,##0.0000_);_(&quot;$&quot;* \(#,##0.0000\);_(&quot;$&quot;* &quot;-&quot;??_);_(@_)"/>
  </numFmts>
  <fonts count="15" x14ac:knownFonts="1">
    <font>
      <sz val="12"/>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12"/>
      <color theme="2" tint="-0.499984740745262"/>
      <name val="Calibri"/>
      <family val="2"/>
      <scheme val="minor"/>
    </font>
    <font>
      <i/>
      <sz val="14"/>
      <color theme="1"/>
      <name val="Calibri (Body)"/>
    </font>
    <font>
      <sz val="12"/>
      <color rgb="FF000000"/>
      <name val="Calibri"/>
      <family val="2"/>
      <scheme val="minor"/>
    </font>
    <font>
      <i/>
      <sz val="11"/>
      <color theme="1"/>
      <name val="Calibri"/>
      <family val="2"/>
      <scheme val="minor"/>
    </font>
    <font>
      <b/>
      <sz val="16"/>
      <color theme="1"/>
      <name val="Calibri"/>
      <family val="2"/>
      <scheme val="minor"/>
    </font>
    <font>
      <b/>
      <sz val="12"/>
      <color theme="1" tint="0.499984740745262"/>
      <name val="Calibri"/>
      <family val="2"/>
      <scheme val="minor"/>
    </font>
    <font>
      <sz val="12"/>
      <color theme="1" tint="0.499984740745262"/>
      <name val="Calibri"/>
      <family val="2"/>
      <scheme val="minor"/>
    </font>
    <font>
      <b/>
      <i/>
      <sz val="12"/>
      <color theme="1" tint="0.499984740745262"/>
      <name val="Calibri"/>
      <family val="2"/>
      <scheme val="minor"/>
    </font>
    <font>
      <i/>
      <sz val="12"/>
      <color theme="1" tint="0.499984740745262"/>
      <name val="Calibri"/>
      <family val="2"/>
      <scheme val="minor"/>
    </font>
    <font>
      <i/>
      <sz val="11"/>
      <color theme="1" tint="0.499984740745262"/>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right/>
      <top style="thin">
        <color theme="4" tint="0.39997558519241921"/>
      </top>
      <bottom style="thin">
        <color theme="4" tint="0.39997558519241921"/>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right/>
      <top style="thin">
        <color theme="4" tint="0.39997558519241921"/>
      </top>
      <bottom/>
      <diagonal/>
    </border>
    <border>
      <left/>
      <right/>
      <top/>
      <bottom style="thin">
        <color theme="4" tint="0.3999755851924192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5"/>
      </left>
      <right/>
      <top style="thin">
        <color theme="5"/>
      </top>
      <bottom style="thin">
        <color theme="5"/>
      </bottom>
      <diagonal/>
    </border>
    <border>
      <left/>
      <right/>
      <top style="thin">
        <color theme="5"/>
      </top>
      <bottom style="thin">
        <color theme="5"/>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6">
    <xf numFmtId="0" fontId="0" fillId="0" borderId="0" xfId="0"/>
    <xf numFmtId="0" fontId="0" fillId="0" borderId="0" xfId="0" applyAlignment="1">
      <alignment wrapText="1"/>
    </xf>
    <xf numFmtId="0" fontId="3" fillId="0" borderId="0" xfId="0" applyFont="1"/>
    <xf numFmtId="0" fontId="0" fillId="0" borderId="0" xfId="0" applyFont="1"/>
    <xf numFmtId="0" fontId="0" fillId="0" borderId="0" xfId="0" applyBorder="1"/>
    <xf numFmtId="0" fontId="0" fillId="2" borderId="1" xfId="0" applyFont="1" applyFill="1" applyBorder="1"/>
    <xf numFmtId="2" fontId="0" fillId="0" borderId="0" xfId="0" applyNumberFormat="1"/>
    <xf numFmtId="0" fontId="0" fillId="0" borderId="0" xfId="0" applyNumberFormat="1"/>
    <xf numFmtId="0" fontId="0" fillId="0" borderId="2" xfId="0" applyBorder="1" applyAlignment="1" applyProtection="1">
      <alignment wrapText="1"/>
      <protection locked="0" hidden="1"/>
    </xf>
    <xf numFmtId="0" fontId="0" fillId="0" borderId="2" xfId="0" applyBorder="1" applyProtection="1">
      <protection locked="0" hidden="1"/>
    </xf>
    <xf numFmtId="0" fontId="5" fillId="0" borderId="0" xfId="0" applyFont="1"/>
    <xf numFmtId="0" fontId="5" fillId="0" borderId="0" xfId="0" applyFont="1" applyAlignment="1">
      <alignment wrapText="1"/>
    </xf>
    <xf numFmtId="0" fontId="2" fillId="3" borderId="0" xfId="0" applyFont="1" applyFill="1"/>
    <xf numFmtId="0" fontId="0" fillId="3" borderId="0" xfId="0" applyFill="1"/>
    <xf numFmtId="0" fontId="0" fillId="4" borderId="0" xfId="0" applyFill="1" applyBorder="1" applyProtection="1">
      <protection locked="0" hidden="1"/>
    </xf>
    <xf numFmtId="164" fontId="0" fillId="4" borderId="0" xfId="1" applyNumberFormat="1" applyFont="1" applyFill="1" applyBorder="1" applyProtection="1">
      <protection locked="0" hidden="1"/>
    </xf>
    <xf numFmtId="0" fontId="6" fillId="0" borderId="0" xfId="0" applyFont="1" applyFill="1" applyAlignment="1">
      <alignment horizontal="center" vertical="center"/>
    </xf>
    <xf numFmtId="9" fontId="0" fillId="4" borderId="0" xfId="0" applyNumberFormat="1" applyFill="1" applyBorder="1" applyProtection="1">
      <protection locked="0" hidden="1"/>
    </xf>
    <xf numFmtId="165" fontId="0" fillId="0" borderId="0" xfId="2" applyNumberFormat="1" applyFont="1"/>
    <xf numFmtId="0" fontId="7" fillId="0" borderId="0" xfId="0" applyFont="1"/>
    <xf numFmtId="0" fontId="0" fillId="2" borderId="4" xfId="0" applyFill="1" applyBorder="1"/>
    <xf numFmtId="0" fontId="0" fillId="2" borderId="1" xfId="0" applyFill="1" applyBorder="1"/>
    <xf numFmtId="0" fontId="0" fillId="0" borderId="1" xfId="0" applyBorder="1"/>
    <xf numFmtId="0" fontId="0" fillId="2" borderId="5" xfId="0" applyFill="1" applyBorder="1"/>
    <xf numFmtId="0" fontId="0" fillId="0" borderId="0" xfId="0" applyBorder="1" applyAlignment="1">
      <alignment wrapText="1"/>
    </xf>
    <xf numFmtId="0" fontId="0" fillId="3" borderId="0" xfId="0" applyFill="1" applyAlignment="1">
      <alignment wrapText="1"/>
    </xf>
    <xf numFmtId="0" fontId="0" fillId="3" borderId="0" xfId="0" applyFill="1" applyBorder="1"/>
    <xf numFmtId="0" fontId="0" fillId="3" borderId="0" xfId="0" applyFill="1" applyBorder="1" applyAlignment="1">
      <alignment wrapText="1"/>
    </xf>
    <xf numFmtId="0" fontId="3" fillId="0" borderId="0" xfId="0" applyFont="1" applyFill="1"/>
    <xf numFmtId="0" fontId="0" fillId="0" borderId="0" xfId="0" applyFill="1" applyBorder="1"/>
    <xf numFmtId="0" fontId="0" fillId="0" borderId="0" xfId="0" applyFill="1" applyBorder="1" applyAlignment="1">
      <alignment wrapText="1"/>
    </xf>
    <xf numFmtId="0" fontId="0" fillId="0" borderId="0" xfId="0" applyFill="1"/>
    <xf numFmtId="0" fontId="2" fillId="0" borderId="0" xfId="0" applyFont="1" applyFill="1"/>
    <xf numFmtId="0" fontId="11" fillId="0" borderId="0" xfId="0" applyFont="1" applyFill="1" applyBorder="1" applyAlignment="1">
      <alignment wrapText="1"/>
    </xf>
    <xf numFmtId="0" fontId="12" fillId="0" borderId="0" xfId="0" applyFont="1" applyFill="1" applyBorder="1" applyProtection="1">
      <protection hidden="1"/>
    </xf>
    <xf numFmtId="0" fontId="12" fillId="0" borderId="0" xfId="0" applyFont="1" applyFill="1" applyBorder="1" applyAlignment="1">
      <alignment wrapText="1"/>
    </xf>
    <xf numFmtId="0" fontId="12" fillId="0" borderId="0" xfId="0" applyFont="1" applyFill="1"/>
    <xf numFmtId="0" fontId="13" fillId="0" borderId="0" xfId="0" applyFont="1"/>
    <xf numFmtId="0" fontId="14" fillId="0" borderId="0" xfId="0" applyFont="1" applyAlignment="1">
      <alignment wrapText="1"/>
    </xf>
    <xf numFmtId="0" fontId="11" fillId="0" borderId="0" xfId="0" applyFont="1" applyBorder="1" applyProtection="1"/>
    <xf numFmtId="0" fontId="11" fillId="0" borderId="0" xfId="0" applyFont="1" applyBorder="1" applyAlignment="1">
      <alignment wrapText="1"/>
    </xf>
    <xf numFmtId="0" fontId="11" fillId="0" borderId="0" xfId="0" applyFont="1" applyProtection="1">
      <protection hidden="1"/>
    </xf>
    <xf numFmtId="164" fontId="11" fillId="0" borderId="0" xfId="0" applyNumberFormat="1" applyFont="1" applyProtection="1">
      <protection hidden="1"/>
    </xf>
    <xf numFmtId="166" fontId="11" fillId="0" borderId="0" xfId="2" applyNumberFormat="1" applyFont="1" applyProtection="1">
      <protection hidden="1"/>
    </xf>
    <xf numFmtId="0" fontId="3" fillId="0" borderId="0" xfId="0" applyFont="1" applyFill="1" applyBorder="1"/>
    <xf numFmtId="0" fontId="0" fillId="0" borderId="0" xfId="0" applyAlignment="1">
      <alignment vertical="center"/>
    </xf>
    <xf numFmtId="0" fontId="0" fillId="4" borderId="0" xfId="0" applyFill="1" applyBorder="1" applyAlignment="1" applyProtection="1">
      <alignment vertical="center"/>
      <protection locked="0" hidden="1"/>
    </xf>
    <xf numFmtId="0" fontId="14" fillId="0" borderId="0" xfId="0" applyFont="1" applyAlignment="1"/>
    <xf numFmtId="164" fontId="5" fillId="0" borderId="0" xfId="1" applyNumberFormat="1" applyFont="1" applyBorder="1" applyProtection="1">
      <protection hidden="1"/>
    </xf>
    <xf numFmtId="0" fontId="3" fillId="0" borderId="6" xfId="0" applyFont="1" applyFill="1" applyBorder="1"/>
    <xf numFmtId="0" fontId="0" fillId="0" borderId="7" xfId="0" applyBorder="1"/>
    <xf numFmtId="0" fontId="0" fillId="0" borderId="8" xfId="0" applyBorder="1"/>
    <xf numFmtId="0" fontId="5" fillId="0" borderId="9" xfId="0" applyFont="1" applyBorder="1"/>
    <xf numFmtId="0" fontId="5" fillId="0" borderId="10" xfId="0" applyFont="1" applyBorder="1" applyAlignment="1">
      <alignment wrapText="1"/>
    </xf>
    <xf numFmtId="0" fontId="0" fillId="0" borderId="9" xfId="0" applyBorder="1"/>
    <xf numFmtId="0" fontId="0" fillId="0" borderId="10" xfId="0" applyBorder="1"/>
    <xf numFmtId="0" fontId="3" fillId="0" borderId="9" xfId="0" applyFont="1" applyBorder="1"/>
    <xf numFmtId="0" fontId="0" fillId="0" borderId="11" xfId="0" applyBorder="1"/>
    <xf numFmtId="0" fontId="0" fillId="0" borderId="12" xfId="0" applyBorder="1"/>
    <xf numFmtId="0" fontId="0" fillId="0" borderId="13" xfId="0" applyBorder="1"/>
    <xf numFmtId="0" fontId="0" fillId="0" borderId="0" xfId="0" applyFont="1" applyFill="1" applyBorder="1"/>
    <xf numFmtId="0" fontId="4" fillId="0" borderId="0" xfId="0" applyFont="1" applyFill="1" applyBorder="1" applyAlignment="1">
      <alignment wrapText="1"/>
    </xf>
    <xf numFmtId="164" fontId="5" fillId="0" borderId="0" xfId="1" applyNumberFormat="1" applyFont="1" applyBorder="1" applyAlignment="1" applyProtection="1">
      <alignment horizontal="right"/>
      <protection hidden="1"/>
    </xf>
    <xf numFmtId="164" fontId="5" fillId="0" borderId="0" xfId="1" applyNumberFormat="1" applyFont="1" applyAlignment="1" applyProtection="1">
      <alignment horizontal="right"/>
      <protection hidden="1"/>
    </xf>
    <xf numFmtId="0" fontId="0" fillId="0" borderId="2" xfId="0" applyFill="1" applyBorder="1" applyProtection="1">
      <protection locked="0" hidden="1"/>
    </xf>
    <xf numFmtId="0" fontId="10" fillId="0" borderId="6"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9" xfId="0" applyFont="1" applyBorder="1" applyProtection="1"/>
    <xf numFmtId="164" fontId="11" fillId="0" borderId="0" xfId="0" applyNumberFormat="1" applyFont="1" applyBorder="1" applyProtection="1"/>
    <xf numFmtId="0" fontId="11" fillId="0" borderId="11" xfId="0" applyFont="1" applyBorder="1" applyProtection="1"/>
    <xf numFmtId="164" fontId="11" fillId="0" borderId="12" xfId="0" applyNumberFormat="1" applyFont="1" applyBorder="1" applyProtection="1"/>
    <xf numFmtId="0" fontId="11" fillId="0" borderId="12" xfId="0" applyFont="1" applyBorder="1" applyProtection="1"/>
    <xf numFmtId="0" fontId="2" fillId="3" borderId="0" xfId="0" applyFont="1" applyFill="1" applyProtection="1"/>
    <xf numFmtId="0" fontId="0" fillId="3" borderId="0" xfId="0" applyFill="1" applyProtection="1"/>
    <xf numFmtId="164" fontId="0" fillId="0" borderId="0" xfId="1" applyNumberFormat="1" applyFont="1" applyAlignment="1" applyProtection="1">
      <alignment horizontal="right"/>
      <protection hidden="1"/>
    </xf>
    <xf numFmtId="164" fontId="1" fillId="0" borderId="0" xfId="1" applyNumberFormat="1" applyFont="1" applyAlignment="1" applyProtection="1">
      <alignment horizontal="right"/>
      <protection hidden="1"/>
    </xf>
    <xf numFmtId="164" fontId="0" fillId="3" borderId="0" xfId="1" applyNumberFormat="1" applyFont="1" applyFill="1" applyAlignment="1" applyProtection="1">
      <alignment horizontal="right"/>
      <protection hidden="1"/>
    </xf>
    <xf numFmtId="44" fontId="11" fillId="0" borderId="10" xfId="2" applyNumberFormat="1" applyFont="1" applyBorder="1" applyProtection="1"/>
    <xf numFmtId="44" fontId="11" fillId="0" borderId="13" xfId="2" applyNumberFormat="1" applyFont="1" applyBorder="1" applyProtection="1"/>
    <xf numFmtId="44" fontId="2" fillId="3" borderId="0" xfId="0" applyNumberFormat="1" applyFont="1" applyFill="1" applyProtection="1"/>
    <xf numFmtId="0" fontId="0" fillId="0" borderId="0" xfId="0" applyAlignment="1">
      <alignment horizontal="left" indent="2"/>
    </xf>
    <xf numFmtId="0" fontId="8" fillId="5" borderId="0" xfId="0" applyFont="1" applyFill="1" applyAlignment="1">
      <alignment horizontal="center" vertical="center" wrapText="1"/>
    </xf>
    <xf numFmtId="0" fontId="13" fillId="0" borderId="0" xfId="0" applyFont="1" applyFill="1" applyBorder="1" applyAlignment="1">
      <alignment wrapText="1"/>
    </xf>
    <xf numFmtId="0" fontId="9" fillId="5" borderId="0" xfId="0" applyFont="1" applyFill="1"/>
    <xf numFmtId="0" fontId="10" fillId="0" borderId="0" xfId="0" applyFont="1"/>
    <xf numFmtId="0" fontId="2" fillId="0" borderId="14" xfId="0" applyFont="1" applyFill="1" applyBorder="1" applyAlignment="1" applyProtection="1">
      <alignment horizontal="left"/>
      <protection locked="0" hidden="1"/>
    </xf>
    <xf numFmtId="0" fontId="2" fillId="0" borderId="15" xfId="0" applyFont="1" applyFill="1" applyBorder="1" applyAlignment="1" applyProtection="1">
      <alignment horizontal="left"/>
      <protection locked="0" hidden="1"/>
    </xf>
    <xf numFmtId="0" fontId="2" fillId="0" borderId="3" xfId="0" applyFont="1" applyFill="1" applyBorder="1" applyAlignment="1" applyProtection="1">
      <alignment horizontal="left"/>
      <protection locked="0" hidden="1"/>
    </xf>
    <xf numFmtId="0" fontId="0" fillId="2" borderId="4" xfId="0" applyFont="1" applyFill="1" applyBorder="1"/>
    <xf numFmtId="0" fontId="0" fillId="2" borderId="4" xfId="0" applyFont="1" applyFill="1" applyBorder="1" applyAlignment="1">
      <alignment wrapText="1"/>
    </xf>
    <xf numFmtId="0" fontId="0" fillId="0" borderId="4" xfId="0" applyFont="1" applyFill="1" applyBorder="1"/>
    <xf numFmtId="0" fontId="0" fillId="0" borderId="4" xfId="0" applyFont="1" applyFill="1" applyBorder="1" applyAlignment="1">
      <alignment wrapText="1"/>
    </xf>
    <xf numFmtId="171" fontId="0" fillId="0" borderId="0" xfId="2" applyNumberFormat="1" applyFont="1"/>
  </cellXfs>
  <cellStyles count="3">
    <cellStyle name="Comma" xfId="1" builtinId="3"/>
    <cellStyle name="Currency" xfId="2" builtinId="4"/>
    <cellStyle name="Normal" xfId="0" builtinId="0"/>
  </cellStyles>
  <dxfs count="10">
    <dxf>
      <numFmt numFmtId="0" formatCode="General"/>
    </dxf>
    <dxf>
      <numFmt numFmtId="0" formatCode="General"/>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2"/>
        <color theme="1"/>
        <name val="Calibri"/>
        <family val="2"/>
        <scheme val="minor"/>
      </font>
      <numFmt numFmtId="165" formatCode="_(&quot;$&quot;* #,##0.000_);_(&quot;$&quot;* \(#,##0.000\);_(&quot;$&quot;* &quot;-&quot;??_);_(@_)"/>
    </dxf>
    <dxf>
      <font>
        <b val="0"/>
        <i val="0"/>
        <strike val="0"/>
        <condense val="0"/>
        <extend val="0"/>
        <outline val="0"/>
        <shadow val="0"/>
        <u val="none"/>
        <vertAlign val="baseline"/>
        <sz val="12"/>
        <color rgb="FF00000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D0B345A-7A1B-5642-9F46-D46814524BC6}" name="PriceTbl" displayName="PriceTbl" ref="A2:C30" totalsRowShown="0">
  <autoFilter ref="A2:C30" xr:uid="{35CCBE01-1A9A-9449-8B60-A1698F228C2A}"/>
  <tableColumns count="3">
    <tableColumn id="1" xr3:uid="{E2BB0A18-7283-9A45-A0EA-78F85CD6AC13}" name="Region"/>
    <tableColumn id="2" xr3:uid="{2CB58071-0887-2244-9B2B-554C2177C187}" name="Operation" dataDxfId="9"/>
    <tableColumn id="3" xr3:uid="{E86A25FA-573F-694F-A144-A62F9D3C257F}" name="Price" dataDxfId="8" dataCellStyle="Currency"/>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D4C6D9C-8A6A-FC41-B18D-0DAA3C8C6E79}" name="ConversionTable1913" displayName="ConversionTable1913" ref="X2:Y6" totalsRowShown="0">
  <autoFilter ref="X2:Y6" xr:uid="{0D4C6D9C-8A6A-FC41-B18D-0DAA3C8C6E79}"/>
  <tableColumns count="2">
    <tableColumn id="1" xr3:uid="{8AF7E42F-C801-8843-9365-2E9307783B84}" name="Unit"/>
    <tableColumn id="2" xr3:uid="{0FA81771-0BB6-9B4B-B8B6-AD1676D58DFF}" name="Day"/>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D1F0C86-BB66-9442-A9DB-47DA21D6DB53}" name="WritesCalcChoice" displayName="WritesCalcChoice" ref="AA2:AA4" totalsRowShown="0">
  <autoFilter ref="AA2:AA4" xr:uid="{AD1F0C86-BB66-9442-A9DB-47DA21D6DB53}"/>
  <tableColumns count="1">
    <tableColumn id="1" xr3:uid="{8AA44359-500A-C249-81CE-CC7269674197}" name="Tex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64561D-4DCF-1D45-B3E6-3EAFF7EB8D1E}" name="RegionTbl" displayName="RegionTbl" ref="E2:E9" totalsRowShown="0" headerRowDxfId="7" dataDxfId="5" headerRowBorderDxfId="6" tableBorderDxfId="4" totalsRowBorderDxfId="3">
  <autoFilter ref="E2:E9" xr:uid="{6D25556D-3A54-0345-AD3E-906950C1C0A0}"/>
  <tableColumns count="1">
    <tableColumn id="1" xr3:uid="{E3DB3A09-0287-C64C-BCA0-54ECA3B88605}" name="region"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D7E35E-CDB6-3642-B848-655E3CEF68F9}" name="ConvertToDay" displayName="ConvertToDay" ref="A2:C8" totalsRowShown="0">
  <autoFilter ref="A2:C8" xr:uid="{7FC197A8-CA5F-6C42-89B9-C50CF9522057}"/>
  <tableColumns count="3">
    <tableColumn id="1" xr3:uid="{CB587810-DDF3-B349-86D7-9109BF83254C}" name="Unit"/>
    <tableColumn id="2" xr3:uid="{AB4B54CA-FDF4-3D4A-8428-589544B4FD09}" name="Day"/>
    <tableColumn id="3" xr3:uid="{5BD7C6AF-3F86-F744-9840-10F3DDA87679}" name="Hour" dataDxfId="1">
      <calculatedColumnFormula>ConvertToDay[[#This Row],[Day]]/24</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EA82CD-035B-6A43-8796-80ADFC7EB0E3}" name="ConvertToMonth" displayName="ConvertToMonth" ref="E2:F5" totalsRowShown="0">
  <autoFilter ref="E2:F5" xr:uid="{DEEA82CD-035B-6A43-8796-80ADFC7EB0E3}"/>
  <tableColumns count="2">
    <tableColumn id="1" xr3:uid="{D0D2CDCE-A555-B84D-BF8E-A02FAD1C356F}" name="Unit"/>
    <tableColumn id="2" xr3:uid="{0DED341E-7623-2240-B474-3846202EC94F}" name="Month"/>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C5F7FB-9595-C540-95DC-98492634C9EB}" name="MemStoreConvertToHour" displayName="MemStoreConvertToHour" ref="H2:I5" totalsRowShown="0">
  <autoFilter ref="H2:I5" xr:uid="{CEC5F7FB-9595-C540-95DC-98492634C9EB}"/>
  <tableColumns count="2">
    <tableColumn id="1" xr3:uid="{2B00D316-8C3B-9347-8909-ADF8E389B61F}" name="Unit"/>
    <tableColumn id="2" xr3:uid="{89607419-B73B-EB47-ADC8-559C67594926}" name="Hou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58A1216-2411-5B4A-9031-49EE9AFCA3B5}" name="MagneticStoreConvertToDay" displayName="MagneticStoreConvertToDay" ref="K2:L4" totalsRowShown="0">
  <autoFilter ref="K2:L4" xr:uid="{958A1216-2411-5B4A-9031-49EE9AFCA3B5}"/>
  <tableColumns count="2">
    <tableColumn id="1" xr3:uid="{9405F89B-AC33-9E40-92B8-073FB3A5AC51}" name="Unit"/>
    <tableColumn id="2" xr3:uid="{9AE172A1-A7CF-174B-8CC3-A213481A176C}" name="Da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E4BA10-C211-2747-933C-5D91A579F72F}" name="QueryConvertToDay" displayName="QueryConvertToDay" ref="N2:O6" totalsRowShown="0">
  <autoFilter ref="N2:O6" xr:uid="{91E4BA10-C211-2747-933C-5D91A579F72F}"/>
  <tableColumns count="2">
    <tableColumn id="1" xr3:uid="{FFB09AD3-8194-7642-ADFD-F78E2D66F0E7}" name="Unit"/>
    <tableColumn id="2" xr3:uid="{30BC7BCA-D26A-EB4A-8A89-402763CDD3DD}" name="da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DFB898-2F1E-CD41-B417-E0360DE6D14F}" name="MagneticWritesConvertToDay" displayName="MagneticWritesConvertToDay" ref="Q2:R7" totalsRowShown="0">
  <autoFilter ref="Q2:R7" xr:uid="{B0DFB898-2F1E-CD41-B417-E0360DE6D14F}"/>
  <tableColumns count="2">
    <tableColumn id="1" xr3:uid="{CB007828-2FB0-BF46-9F73-797C9341E3D5}" name="Unit"/>
    <tableColumn id="2" xr3:uid="{8A7B25F4-03E4-6340-8225-A65BDF4A8ACC}" name="Da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9DE8B9-DDCE-8E47-BFE9-91CDDE77852F}" name="DataToStorageConversion" displayName="DataToStorageConversion" ref="T2:V26" totalsRowShown="0">
  <autoFilter ref="T2:V26" xr:uid="{099DE8B9-DDCE-8E47-BFE9-91CDDE77852F}"/>
  <tableColumns count="3">
    <tableColumn id="1" xr3:uid="{06D4F62F-20B9-5D42-9299-53206B074989}" name="Data throughput"/>
    <tableColumn id="2" xr3:uid="{8C794BCC-EB0F-4B4A-98E1-1C124DC38F5C}" name="Duration"/>
    <tableColumn id="3" xr3:uid="{1E7B8ABD-5532-7148-BCCD-909F9503DA46}" name="Factor" dataDxfId="0">
      <calculatedColumnFormula>DataToStorageConversion[[#This Row],[Duration]]/24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235-5A3D-F042-87C9-F863E556ABE1}">
  <dimension ref="A2:M38"/>
  <sheetViews>
    <sheetView showGridLines="0" tabSelected="1" zoomScale="180" zoomScaleNormal="180" workbookViewId="0">
      <selection activeCell="B17" sqref="B17"/>
    </sheetView>
  </sheetViews>
  <sheetFormatPr baseColWidth="10" defaultRowHeight="16" x14ac:dyDescent="0.2"/>
  <cols>
    <col min="1" max="1" width="60.5" bestFit="1" customWidth="1"/>
    <col min="2" max="2" width="16" bestFit="1" customWidth="1"/>
    <col min="4" max="4" width="5.6640625" customWidth="1"/>
    <col min="5" max="5" width="48.1640625" bestFit="1" customWidth="1"/>
    <col min="6" max="6" width="21.5" customWidth="1"/>
    <col min="7" max="7" width="17.1640625" customWidth="1"/>
    <col min="8" max="8" width="5.5" customWidth="1"/>
    <col min="9" max="9" width="13.6640625" bestFit="1" customWidth="1"/>
    <col min="10" max="10" width="25.83203125" bestFit="1" customWidth="1"/>
    <col min="12" max="12" width="18.1640625" bestFit="1" customWidth="1"/>
  </cols>
  <sheetData>
    <row r="2" spans="1:12" ht="24" customHeight="1" x14ac:dyDescent="0.25">
      <c r="A2" s="86" t="s">
        <v>76</v>
      </c>
      <c r="B2" s="86"/>
      <c r="C2" s="86"/>
      <c r="D2" s="86"/>
      <c r="E2" s="86"/>
      <c r="F2" s="86"/>
      <c r="G2" s="86"/>
      <c r="H2" s="86"/>
      <c r="I2" s="86"/>
      <c r="J2" s="86"/>
      <c r="K2" s="86"/>
      <c r="L2" s="86"/>
    </row>
    <row r="4" spans="1:12" x14ac:dyDescent="0.2">
      <c r="A4" s="12" t="s">
        <v>26</v>
      </c>
      <c r="B4" s="13"/>
      <c r="C4" s="13"/>
      <c r="D4" s="13"/>
      <c r="E4" s="13"/>
      <c r="F4" s="13"/>
      <c r="G4" s="13"/>
      <c r="I4" s="12" t="s">
        <v>73</v>
      </c>
      <c r="J4" s="12"/>
      <c r="K4" s="12"/>
      <c r="L4" s="64" t="s">
        <v>50</v>
      </c>
    </row>
    <row r="5" spans="1:12" x14ac:dyDescent="0.2">
      <c r="A5" s="85" t="s">
        <v>79</v>
      </c>
      <c r="B5" s="85"/>
      <c r="C5" s="85"/>
      <c r="D5" s="85"/>
      <c r="E5" s="85"/>
      <c r="F5" s="85"/>
      <c r="G5" s="85"/>
      <c r="I5" s="65" t="s">
        <v>53</v>
      </c>
      <c r="J5" s="66" t="s">
        <v>55</v>
      </c>
      <c r="K5" s="66" t="s">
        <v>21</v>
      </c>
      <c r="L5" s="67" t="s">
        <v>56</v>
      </c>
    </row>
    <row r="6" spans="1:12" x14ac:dyDescent="0.2">
      <c r="A6" s="33"/>
      <c r="B6" s="33"/>
      <c r="C6" s="33"/>
      <c r="D6" s="33"/>
      <c r="E6" s="33"/>
      <c r="F6" s="33"/>
      <c r="G6" s="33"/>
      <c r="I6" s="68"/>
      <c r="J6" s="69"/>
      <c r="K6" s="69"/>
      <c r="L6" s="67"/>
    </row>
    <row r="7" spans="1:12" ht="16" customHeight="1" x14ac:dyDescent="0.2">
      <c r="A7" s="88" t="s">
        <v>77</v>
      </c>
      <c r="B7" s="89"/>
      <c r="C7" s="90"/>
      <c r="D7" s="61"/>
      <c r="E7" s="61"/>
      <c r="F7" s="61"/>
      <c r="G7" s="61"/>
      <c r="I7" s="70" t="s">
        <v>26</v>
      </c>
      <c r="J7" s="71">
        <f>IFERROR((F13+F35*1000000+F19)/1000000,0)</f>
        <v>67.391999999999996</v>
      </c>
      <c r="K7" s="39" t="s">
        <v>59</v>
      </c>
      <c r="L7" s="80">
        <f>IFERROR(J7*INDEX(PriceTbl[Price], MATCH(1, INDEX((PriceTbl[Region]='Pricing estimator'!L4)*(PriceTbl[Operation]='Pricing estimator'!I7),,0),0)),"-")</f>
        <v>33.695999999999998</v>
      </c>
    </row>
    <row r="8" spans="1:12" x14ac:dyDescent="0.2">
      <c r="A8" s="60"/>
      <c r="B8" s="60"/>
      <c r="C8" s="60"/>
      <c r="D8" s="60"/>
      <c r="E8" s="60"/>
      <c r="F8" s="60"/>
      <c r="G8" s="60"/>
      <c r="I8" s="70" t="s">
        <v>36</v>
      </c>
      <c r="J8" s="71">
        <f>IFERROR(F29+F27+F28+F36+F30,0)</f>
        <v>4520.0157165527344</v>
      </c>
      <c r="K8" s="39" t="s">
        <v>28</v>
      </c>
      <c r="L8" s="80">
        <f>IFERROR(J8*INDEX(PriceTbl[Price], MATCH(1, INDEX((PriceTbl[Region]='Pricing estimator'!L4)*(PriceTbl[Operation]='Pricing estimator'!I8),,0),0)),"-")</f>
        <v>45.200157165527344</v>
      </c>
    </row>
    <row r="9" spans="1:12" x14ac:dyDescent="0.2">
      <c r="A9" s="44" t="s">
        <v>64</v>
      </c>
      <c r="B9" s="29"/>
      <c r="C9" s="29"/>
      <c r="D9" s="60"/>
      <c r="E9" s="29"/>
      <c r="F9" s="29"/>
      <c r="G9" s="29"/>
      <c r="I9" s="70" t="s">
        <v>57</v>
      </c>
      <c r="J9" s="71">
        <f>IFERROR(F23,0)</f>
        <v>376.58214569091797</v>
      </c>
      <c r="K9" s="39" t="s">
        <v>60</v>
      </c>
      <c r="L9" s="80">
        <f>IFERROR(J9*INDEX(PriceTbl[Price], MATCH(1, INDEX((PriceTbl[Region]='Pricing estimator'!L4)*(PriceTbl[Operation]='Pricing estimator'!I9),,0),0)),"-")</f>
        <v>13.556957244873045</v>
      </c>
    </row>
    <row r="10" spans="1:12" x14ac:dyDescent="0.2">
      <c r="A10" t="s">
        <v>27</v>
      </c>
      <c r="B10" s="15">
        <v>0</v>
      </c>
      <c r="C10" s="39" t="s">
        <v>11</v>
      </c>
      <c r="E10" s="87" t="str">
        <f>CONCATENATE("Estimated usage (The record size and throughput is based on data provided in: ", IF(A7='Conversion table'!AA3, "Pricing estimator", "Writes estimator"), ")")</f>
        <v>Estimated usage (The record size and throughput is based on data provided in: Writes estimator)</v>
      </c>
      <c r="F10" s="87"/>
      <c r="G10" s="87"/>
      <c r="I10" s="72" t="s">
        <v>58</v>
      </c>
      <c r="J10" s="73">
        <f>IFERROR(F24,0)</f>
        <v>376.58214569091797</v>
      </c>
      <c r="K10" s="74" t="s">
        <v>61</v>
      </c>
      <c r="L10" s="81">
        <f>IFERROR(J10*INDEX(PriceTbl[Price], MATCH(1, INDEX((PriceTbl[Region]='Pricing estimator'!L4)*(PriceTbl[Operation]='Pricing estimator'!I10),,0),0)),"-")</f>
        <v>11.297464370727539</v>
      </c>
    </row>
    <row r="11" spans="1:12" ht="17" x14ac:dyDescent="0.2">
      <c r="A11" t="s">
        <v>12</v>
      </c>
      <c r="B11" s="15">
        <v>0</v>
      </c>
      <c r="C11" s="8" t="s">
        <v>19</v>
      </c>
      <c r="E11" s="10" t="s">
        <v>25</v>
      </c>
      <c r="F11" s="63">
        <f>IFERROR(IF(A$7='Conversion table'!AA3,B11, 'Writes estimator'!G4),0)</f>
        <v>200</v>
      </c>
      <c r="G11" s="11" t="str">
        <f>IF(A$7='Conversion table'!AA3,C11, 'Writes estimator'!H4)</f>
        <v>per second</v>
      </c>
      <c r="I11" s="75" t="s">
        <v>74</v>
      </c>
      <c r="J11" s="76"/>
      <c r="K11" s="76"/>
      <c r="L11" s="82">
        <f>SUM(L7:L10)</f>
        <v>103.75057878112793</v>
      </c>
    </row>
    <row r="12" spans="1:12" x14ac:dyDescent="0.2">
      <c r="A12" t="s">
        <v>7</v>
      </c>
      <c r="B12" s="9" t="s">
        <v>8</v>
      </c>
      <c r="E12" s="10" t="s">
        <v>66</v>
      </c>
      <c r="F12" s="63">
        <f>IFERROR(IF(A$7='Conversion table'!AA3, IF(B12="no", ROUNDUP(B10/1024, 0)*F11, ROUNDUP((F11/B13),0)*ROUNDUP((B10+(1-B14)*B10*(B13-1))/1024,0)), 'Writes estimator'!G5),0)</f>
        <v>26</v>
      </c>
      <c r="G12" s="11" t="str">
        <f>G11</f>
        <v>per second</v>
      </c>
    </row>
    <row r="13" spans="1:12" ht="17" x14ac:dyDescent="0.2">
      <c r="A13" t="s">
        <v>9</v>
      </c>
      <c r="B13" s="15">
        <v>0</v>
      </c>
      <c r="C13" s="39" t="s">
        <v>29</v>
      </c>
      <c r="E13" s="10" t="s">
        <v>66</v>
      </c>
      <c r="F13" s="63">
        <f>IFERROR(F12*INDEX(ConvertToDay[[#All],[Day]], MATCH(G12, ConvertToDay[[#All],[Unit]], 0)), 0)*30</f>
        <v>67392000</v>
      </c>
      <c r="G13" s="11" t="s">
        <v>15</v>
      </c>
    </row>
    <row r="14" spans="1:12" ht="17" x14ac:dyDescent="0.2">
      <c r="A14" t="s">
        <v>30</v>
      </c>
      <c r="B14" s="17">
        <v>0</v>
      </c>
      <c r="E14" s="10" t="s">
        <v>67</v>
      </c>
      <c r="F14" s="63">
        <f>IFERROR(F13/1000000,0)</f>
        <v>67.391999999999996</v>
      </c>
      <c r="G14" s="11" t="s">
        <v>15</v>
      </c>
    </row>
    <row r="15" spans="1:12" x14ac:dyDescent="0.2">
      <c r="F15" s="77"/>
      <c r="I15" s="41"/>
      <c r="J15" s="41"/>
      <c r="K15" s="41"/>
      <c r="L15" s="41"/>
    </row>
    <row r="16" spans="1:12" s="3" customFormat="1" x14ac:dyDescent="0.2">
      <c r="A16" s="2" t="s">
        <v>65</v>
      </c>
      <c r="F16" s="78"/>
      <c r="I16" s="41"/>
      <c r="J16" s="42"/>
      <c r="K16" s="41"/>
      <c r="L16" s="43"/>
    </row>
    <row r="17" spans="1:12" s="3" customFormat="1" ht="17" x14ac:dyDescent="0.2">
      <c r="A17" t="s">
        <v>12</v>
      </c>
      <c r="B17" s="15">
        <v>0</v>
      </c>
      <c r="C17" s="8" t="s">
        <v>18</v>
      </c>
      <c r="E17" s="10" t="s">
        <v>25</v>
      </c>
      <c r="F17" s="63">
        <f>IFERROR(IF(A$7='Conversion table'!AA3,B17, 'Writes estimator'!G10),0)</f>
        <v>0</v>
      </c>
      <c r="G17" s="11" t="str">
        <f>IF(A$7='Conversion table'!AA3,C17, 'Writes estimator'!H11)</f>
        <v>per hour</v>
      </c>
      <c r="I17" s="41"/>
      <c r="J17" s="42"/>
      <c r="K17" s="41"/>
      <c r="L17" s="43"/>
    </row>
    <row r="18" spans="1:12" s="3" customFormat="1" x14ac:dyDescent="0.2">
      <c r="A18" t="s">
        <v>7</v>
      </c>
      <c r="B18" s="9" t="s">
        <v>8</v>
      </c>
      <c r="C18"/>
      <c r="E18" s="10" t="s">
        <v>66</v>
      </c>
      <c r="F18" s="63">
        <f>IFERROR(IF(A$7='Conversion table'!AA3, IF(B18="no", ROUNDUP(B10/1024, 0)*F17, ROUNDUP((F17/B19),0)*ROUNDUP((B10+(1-B20)*B10*(B19-1))/1024,0)), 'Writes estimator'!G11),0)</f>
        <v>0</v>
      </c>
      <c r="G18" s="11" t="str">
        <f>G17</f>
        <v>per hour</v>
      </c>
      <c r="I18" s="41"/>
      <c r="J18" s="42"/>
      <c r="K18" s="41"/>
      <c r="L18" s="43"/>
    </row>
    <row r="19" spans="1:12" ht="17" x14ac:dyDescent="0.2">
      <c r="A19" t="s">
        <v>9</v>
      </c>
      <c r="B19" s="15">
        <v>10</v>
      </c>
      <c r="C19" s="39" t="s">
        <v>29</v>
      </c>
      <c r="E19" s="10" t="s">
        <v>66</v>
      </c>
      <c r="F19" s="63">
        <f>IFERROR(F18*INDEX(ConvertToDay[[#All],[Day]], MATCH(G18, ConvertToDay[[#All],[Unit]], 0)), 0)*30</f>
        <v>0</v>
      </c>
      <c r="G19" s="11" t="s">
        <v>15</v>
      </c>
      <c r="I19" s="41"/>
      <c r="J19" s="42"/>
      <c r="K19" s="41"/>
      <c r="L19" s="43"/>
    </row>
    <row r="20" spans="1:12" ht="17" x14ac:dyDescent="0.2">
      <c r="A20" t="s">
        <v>30</v>
      </c>
      <c r="B20" s="17">
        <v>0</v>
      </c>
      <c r="E20" s="10" t="s">
        <v>67</v>
      </c>
      <c r="F20" s="63">
        <f>IFERROR(F19/1000000,0)</f>
        <v>0</v>
      </c>
      <c r="G20" s="11" t="s">
        <v>15</v>
      </c>
      <c r="I20" s="41"/>
      <c r="J20" s="42"/>
      <c r="K20" s="41"/>
      <c r="L20" s="43"/>
    </row>
    <row r="21" spans="1:12" x14ac:dyDescent="0.2">
      <c r="E21" s="10"/>
      <c r="F21" s="63"/>
      <c r="G21" s="11"/>
      <c r="I21" s="41"/>
      <c r="J21" s="42"/>
      <c r="K21" s="41"/>
      <c r="L21" s="43"/>
    </row>
    <row r="22" spans="1:12" x14ac:dyDescent="0.2">
      <c r="A22" s="12" t="s">
        <v>31</v>
      </c>
      <c r="B22" s="13"/>
      <c r="C22" s="13"/>
      <c r="D22" s="13"/>
      <c r="E22" s="13"/>
      <c r="F22" s="79"/>
      <c r="G22" s="13"/>
    </row>
    <row r="23" spans="1:12" x14ac:dyDescent="0.2">
      <c r="A23" t="s">
        <v>32</v>
      </c>
      <c r="B23" s="14">
        <v>6</v>
      </c>
      <c r="C23" s="9" t="s">
        <v>40</v>
      </c>
      <c r="E23" s="10" t="s">
        <v>34</v>
      </c>
      <c r="F23" s="63">
        <f>IFERROR(B23*24*30/(1024^3)*IF(A$7='Conversion table'!AA3,B10*B11*INDEX(DataToStorageConversion[Factor],MATCH(1,INDEX((DataToStorageConversion[Data throughput]='Pricing estimator'!C11)*(DataToStorageConversion[Duration]='Pricing estimator'!C23),,1),0)),'Writes estimator'!B30*'Writes estimator'!B4*INDEX(DataToStorageConversion[Factor],MATCH(1,INDEX((DataToStorageConversion[Data throughput]='Writes estimator'!C4)*(DataToStorageConversion[Duration]='Pricing estimator'!C23),,1),0)))*(1+IF(F35&gt;0, 1/100, 0)),0)</f>
        <v>376.58214569091797</v>
      </c>
      <c r="G23" s="10" t="s">
        <v>15</v>
      </c>
    </row>
    <row r="24" spans="1:12" x14ac:dyDescent="0.2">
      <c r="A24" t="s">
        <v>33</v>
      </c>
      <c r="B24" s="14">
        <v>6</v>
      </c>
      <c r="C24" s="9" t="s">
        <v>42</v>
      </c>
      <c r="E24" s="10" t="s">
        <v>35</v>
      </c>
      <c r="F24" s="63">
        <f>IFERROR(B24/(1024^3)*IF(A$7='Conversion table'!AA3,B10*B11*INDEX(DataToStorageConversion[Factor],MATCH(1,INDEX((DataToStorageConversion[Data throughput]=C11)*(DataToStorageConversion[Duration]=C24),,1),0))*(1+IF(F35&gt;0, 1/100, 0)) + B10*B17*INDEX(DataToStorageConversion[Factor],MATCH(1,INDEX((DataToStorageConversion[Data throughput]=C17)*(DataToStorageConversion[Duration]=C24),,1),0)),      'Writes estimator'!B30*'Writes estimator'!B4*INDEX(DataToStorageConversion[Factor],MATCH(1,INDEX((DataToStorageConversion[Data throughput]='Writes estimator'!C4)*(DataToStorageConversion[Duration]='Pricing estimator'!C24),,1),0))*(1+IF(F35&gt;0, 1/100, 0)) + 'Writes estimator'!B30*'Writes estimator'!B10*INDEX(DataToStorageConversion[Factor],MATCH(1,INDEX((DataToStorageConversion[Data throughput]='Writes estimator'!C10)*(DataToStorageConversion[Duration]='Pricing estimator'!C24),,1),0))),0)</f>
        <v>376.58214569091797</v>
      </c>
      <c r="G24" s="10" t="s">
        <v>15</v>
      </c>
    </row>
    <row r="25" spans="1:12" x14ac:dyDescent="0.2">
      <c r="F25" s="77"/>
    </row>
    <row r="26" spans="1:12" x14ac:dyDescent="0.2">
      <c r="A26" s="12" t="s">
        <v>36</v>
      </c>
      <c r="B26" s="13"/>
      <c r="C26" s="13"/>
      <c r="D26" s="13"/>
      <c r="E26" s="13"/>
      <c r="F26" s="79"/>
      <c r="G26" s="13"/>
    </row>
    <row r="27" spans="1:12" x14ac:dyDescent="0.2">
      <c r="A27" t="s">
        <v>37</v>
      </c>
      <c r="B27" s="15">
        <v>40</v>
      </c>
      <c r="C27" s="9" t="s">
        <v>18</v>
      </c>
      <c r="E27" s="10" t="s">
        <v>87</v>
      </c>
      <c r="F27" s="63">
        <f>IFERROR(30*B27*INDEX(MagneticWritesConvertToDay[Day],MATCH('Pricing estimator'!C27,MagneticWritesConvertToDay[Unit],0))*MIN(100/1024, MAX(10/1024, 0.02*B28*IF(A$7='Conversion table'!AA3, B10*B11*INDEX(DataToStorageConversion[Factor], MATCH(1,INDEX((DataToStorageConversion[Data throughput]='Pricing estimator'!C11)*(DataToStorageConversion[Duration]='Pricing estimator'!C28),,1),0))/(1024^3), 'Writes estimator'!B30*'Writes estimator'!B4*INDEX(DataToStorageConversion[Factor], MATCH(1,INDEX((DataToStorageConversion[Data throughput]='Writes estimator'!C4)*(DataToStorageConversion[Duration]='Pricing estimator'!C28),,1),0))/(1024^3)))),0)</f>
        <v>301.26571655273438</v>
      </c>
      <c r="G27" s="10" t="s">
        <v>15</v>
      </c>
    </row>
    <row r="28" spans="1:12" x14ac:dyDescent="0.2">
      <c r="A28" s="83" t="s">
        <v>84</v>
      </c>
      <c r="B28" s="15">
        <v>6</v>
      </c>
      <c r="C28" s="9" t="s">
        <v>40</v>
      </c>
      <c r="E28" s="10" t="s">
        <v>88</v>
      </c>
      <c r="F28" s="63">
        <f>IFERROR(30*B29*INDEX(MagneticWritesConvertToDay[Day],MATCH('Pricing estimator'!C29,MagneticWritesConvertToDay[Unit],0))*MIN(5, MAX(10/1024, 0.05*B30*IF(A$7='Conversion table'!AA3, B10*B11*INDEX(DataToStorageConversion[Factor], MATCH(1,INDEX((DataToStorageConversion[Data throughput]='Pricing estimator'!C11)*(DataToStorageConversion[Duration]='Pricing estimator'!C30),,1),0))/(1024^3), 'Writes estimator'!B30*'Writes estimator'!B4*INDEX(DataToStorageConversion[Factor], MATCH(1,INDEX((DataToStorageConversion[Data throughput]='Writes estimator'!C4)*(DataToStorageConversion[Duration]='Pricing estimator'!C30),,1),0))/(1024^3)))),0)</f>
        <v>0</v>
      </c>
      <c r="G28" s="10" t="s">
        <v>15</v>
      </c>
    </row>
    <row r="29" spans="1:12" x14ac:dyDescent="0.2">
      <c r="A29" t="s">
        <v>38</v>
      </c>
      <c r="B29" s="15">
        <v>0</v>
      </c>
      <c r="C29" s="9" t="s">
        <v>17</v>
      </c>
      <c r="E29" s="10" t="s">
        <v>86</v>
      </c>
      <c r="F29" s="63">
        <f>IFERROR(B31*INDEX(MagneticWritesConvertToDay[Day],MATCH('Pricing estimator'!C31,MagneticWritesConvertToDay[Unit],0))*30*IF(F11+F17&gt;0,10/1024,0),0)</f>
        <v>4218.75</v>
      </c>
      <c r="G29" s="10" t="s">
        <v>15</v>
      </c>
    </row>
    <row r="30" spans="1:12" x14ac:dyDescent="0.2">
      <c r="A30" s="83" t="s">
        <v>85</v>
      </c>
      <c r="B30" s="15">
        <v>0</v>
      </c>
      <c r="C30" s="9" t="s">
        <v>40</v>
      </c>
      <c r="E30" s="10" t="s">
        <v>89</v>
      </c>
      <c r="F30" s="63">
        <f>IFERROR(#REF!*INDEX(MagneticWritesConvertToDay[Day],MATCH('Pricing estimator'!#REF!,MagneticWritesConvertToDay[Unit],0))*30*IF(F11+F17&gt;0,10/1024,0),0)</f>
        <v>0</v>
      </c>
      <c r="G30" s="10" t="s">
        <v>15</v>
      </c>
    </row>
    <row r="31" spans="1:12" x14ac:dyDescent="0.2">
      <c r="A31" t="s">
        <v>78</v>
      </c>
      <c r="B31" s="15">
        <v>10</v>
      </c>
      <c r="C31" s="9" t="s">
        <v>19</v>
      </c>
    </row>
    <row r="32" spans="1:12" x14ac:dyDescent="0.2">
      <c r="F32" s="77"/>
    </row>
    <row r="33" spans="1:13" x14ac:dyDescent="0.2">
      <c r="F33" s="77"/>
    </row>
    <row r="34" spans="1:13" x14ac:dyDescent="0.2">
      <c r="A34" s="12" t="s">
        <v>91</v>
      </c>
      <c r="B34" s="13"/>
      <c r="C34" s="13"/>
      <c r="D34" s="13"/>
      <c r="E34" s="13"/>
      <c r="F34" s="79"/>
      <c r="G34" s="13"/>
    </row>
    <row r="35" spans="1:13" x14ac:dyDescent="0.2">
      <c r="A35" t="s">
        <v>39</v>
      </c>
      <c r="B35" s="15">
        <v>0</v>
      </c>
      <c r="C35" s="9" t="s">
        <v>18</v>
      </c>
      <c r="E35" s="10" t="s">
        <v>93</v>
      </c>
      <c r="F35" s="63">
        <f>IFERROR(IF(B35&gt;0,F14/100,0),0)</f>
        <v>0</v>
      </c>
      <c r="G35" s="10" t="s">
        <v>15</v>
      </c>
    </row>
    <row r="36" spans="1:13" x14ac:dyDescent="0.2">
      <c r="A36" t="s">
        <v>92</v>
      </c>
      <c r="B36" s="15">
        <v>0</v>
      </c>
      <c r="C36" s="9" t="s">
        <v>40</v>
      </c>
      <c r="E36" s="10" t="s">
        <v>94</v>
      </c>
      <c r="F36" s="63">
        <f>IFERROR(30*B35*INDEX(MagneticWritesConvertToDay[Day],MATCH('Pricing estimator'!C35,MagneticWritesConvertToDay[Unit],0))*MIN(5, MAX(10/1024, 0.02*B36*IF(A$7='Conversion table'!AA3, B10*B11*INDEX(DataToStorageConversion[Factor], MATCH(1,INDEX((DataToStorageConversion[Data throughput]='Pricing estimator'!C11)*(DataToStorageConversion[Duration]='Pricing estimator'!C36),,1),0))/(1024^3), 'Writes estimator'!B30*'Writes estimator'!B4*INDEX(DataToStorageConversion[Factor], MATCH(1,INDEX((DataToStorageConversion[Data throughput]='Writes estimator'!C4)*(DataToStorageConversion[Duration]='Pricing estimator'!C36),,1),0))/(1024^3)))),0)</f>
        <v>0</v>
      </c>
      <c r="G36" s="10" t="s">
        <v>15</v>
      </c>
    </row>
    <row r="38" spans="1:13" ht="25" customHeight="1" x14ac:dyDescent="0.2">
      <c r="A38" s="84" t="s">
        <v>75</v>
      </c>
      <c r="B38" s="84"/>
      <c r="C38" s="84"/>
      <c r="D38" s="84"/>
      <c r="E38" s="84"/>
      <c r="F38" s="84"/>
      <c r="G38" s="84"/>
      <c r="H38" s="84"/>
      <c r="I38" s="84"/>
      <c r="J38" s="84"/>
      <c r="K38" s="84"/>
      <c r="L38" s="84"/>
      <c r="M38" s="16"/>
    </row>
  </sheetData>
  <sheetProtection algorithmName="SHA-512" hashValue="hxW8fmE0WdL8EaRhBPcvYuyR+n/VigjFCdiEq41ed80xorv971/15PA2Lz5Onu7nkoDwLfBCwDHa+M+ZpemgTA==" saltValue="JUYXKvwimkN8TrI8NGJHKw==" spinCount="100000" sheet="1" selectLockedCells="1"/>
  <mergeCells count="5">
    <mergeCell ref="A38:L38"/>
    <mergeCell ref="A5:G5"/>
    <mergeCell ref="A2:L2"/>
    <mergeCell ref="E10:G10"/>
    <mergeCell ref="A7:C7"/>
  </mergeCells>
  <dataValidations count="5">
    <dataValidation type="list" allowBlank="1" showInputMessage="1" showErrorMessage="1" sqref="B12 B18" xr:uid="{61275D40-C4CA-534C-84E4-E37622A71649}">
      <formula1>"yes, no"</formula1>
    </dataValidation>
    <dataValidation type="list" allowBlank="1" showInputMessage="1" showErrorMessage="1" sqref="B9" xr:uid="{9D8CB710-83C0-CB47-B49F-BE6F07C19287}">
      <formula1>"Use the writes calculator for record size and data throughput, Use the information below for record size and data throughput"</formula1>
    </dataValidation>
    <dataValidation type="whole" allowBlank="1" showInputMessage="1" showErrorMessage="1" errorTitle="Invalid input" error="The batch size must be between 1 and 100." sqref="B13" xr:uid="{6F47F87A-ACD0-2941-88BA-62E5296AA1F7}">
      <formula1>0</formula1>
      <formula2>100</formula2>
    </dataValidation>
    <dataValidation type="whole" operator="greaterThanOrEqual" allowBlank="1" showInputMessage="1" showErrorMessage="1" sqref="B10:B11 B17 B19 B23:B24 B35:B36 B27:B31" xr:uid="{F560D9CA-C4A6-8242-A153-1E7280EE4B1D}">
      <formula1>0</formula1>
    </dataValidation>
    <dataValidation type="decimal" allowBlank="1" showInputMessage="1" showErrorMessage="1" sqref="B14 B20" xr:uid="{A202C48F-C080-324E-99C6-D3E95C351398}">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183C1413-D04C-594C-B305-D742C14CDFC9}">
          <x14:formula1>
            <xm:f>'Conversion table'!$A$3:$A$8</xm:f>
          </x14:formula1>
          <xm:sqref>C11</xm:sqref>
        </x14:dataValidation>
        <x14:dataValidation type="list" allowBlank="1" showInputMessage="1" showErrorMessage="1" xr:uid="{FACF75FA-F778-5F44-BDCE-BE5AD34A0CF0}">
          <x14:formula1>
            <xm:f>'Conversion table'!$H$3:$H$5</xm:f>
          </x14:formula1>
          <xm:sqref>C23</xm:sqref>
        </x14:dataValidation>
        <x14:dataValidation type="list" allowBlank="1" showInputMessage="1" showErrorMessage="1" xr:uid="{4312A578-4A55-B943-A3B1-18A743F8234E}">
          <x14:formula1>
            <xm:f>'Conversion table'!$K$3:$K$4</xm:f>
          </x14:formula1>
          <xm:sqref>C24</xm:sqref>
        </x14:dataValidation>
        <x14:dataValidation type="list" allowBlank="1" showInputMessage="1" showErrorMessage="1" xr:uid="{DD85D906-9C67-534F-90E0-193BB917B2D4}">
          <x14:formula1>
            <xm:f>'Conversion table'!$Q$3:$Q$7</xm:f>
          </x14:formula1>
          <xm:sqref>C35 C29 C31 C27</xm:sqref>
        </x14:dataValidation>
        <x14:dataValidation type="list" allowBlank="1" showInputMessage="1" showErrorMessage="1" xr:uid="{CDB40656-4C66-CE40-A1EC-9D9FB2573AF2}">
          <x14:formula1>
            <xm:f>'Conversion table'!$N$3:$N$6</xm:f>
          </x14:formula1>
          <xm:sqref>C28 C36 C30:C31</xm:sqref>
        </x14:dataValidation>
        <x14:dataValidation type="list" allowBlank="1" showInputMessage="1" showErrorMessage="1" xr:uid="{832BFBC6-F4F0-FC40-8A79-7266BF845030}">
          <x14:formula1>
            <xm:f>Cost!$E$3:$E$9</xm:f>
          </x14:formula1>
          <xm:sqref>L4</xm:sqref>
        </x14:dataValidation>
        <x14:dataValidation type="list" allowBlank="1" showInputMessage="1" showErrorMessage="1" xr:uid="{4C9D13E1-7E75-AF47-B437-6601CB5DF43E}">
          <x14:formula1>
            <xm:f>'Conversion table'!$X$3:$X$6</xm:f>
          </x14:formula1>
          <xm:sqref>C17</xm:sqref>
        </x14:dataValidation>
        <x14:dataValidation type="list" allowBlank="1" showInputMessage="1" showErrorMessage="1" xr:uid="{80CBE985-8359-BB4A-B245-FAB877490E91}">
          <x14:formula1>
            <xm:f>'Conversion table'!$AA$3:$AA$4</xm:f>
          </x14:formula1>
          <xm:sqref>B8:E8 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FAAD4-2D0D-8746-B7BB-A4C2AABE09DB}">
  <dimension ref="A2:H31"/>
  <sheetViews>
    <sheetView showGridLines="0" zoomScale="160" zoomScaleNormal="160" workbookViewId="0">
      <selection activeCell="B4" sqref="B4"/>
    </sheetView>
  </sheetViews>
  <sheetFormatPr baseColWidth="10" defaultRowHeight="16" x14ac:dyDescent="0.2"/>
  <cols>
    <col min="1" max="1" width="40.1640625" customWidth="1"/>
    <col min="2" max="2" width="19.1640625" bestFit="1" customWidth="1"/>
    <col min="3" max="3" width="15" style="1" customWidth="1"/>
    <col min="4" max="4" width="34.5" customWidth="1"/>
    <col min="5" max="5" width="5.83203125" customWidth="1"/>
    <col min="6" max="6" width="33.6640625" bestFit="1" customWidth="1"/>
    <col min="7" max="7" width="24.33203125" bestFit="1" customWidth="1"/>
  </cols>
  <sheetData>
    <row r="2" spans="1:8" x14ac:dyDescent="0.2">
      <c r="A2" s="12" t="s">
        <v>13</v>
      </c>
      <c r="B2" s="13"/>
      <c r="C2" s="25"/>
      <c r="D2" s="13"/>
      <c r="F2" s="12" t="s">
        <v>70</v>
      </c>
      <c r="G2" s="26"/>
      <c r="H2" s="26"/>
    </row>
    <row r="3" spans="1:8" x14ac:dyDescent="0.2">
      <c r="A3" s="44" t="s">
        <v>64</v>
      </c>
      <c r="C3"/>
      <c r="F3" s="49" t="s">
        <v>64</v>
      </c>
      <c r="G3" s="50"/>
      <c r="H3" s="51"/>
    </row>
    <row r="4" spans="1:8" ht="17" x14ac:dyDescent="0.2">
      <c r="A4" t="s">
        <v>12</v>
      </c>
      <c r="B4" s="15">
        <v>200</v>
      </c>
      <c r="C4" s="8" t="s">
        <v>20</v>
      </c>
      <c r="D4" s="37" t="s">
        <v>80</v>
      </c>
      <c r="F4" s="52" t="s">
        <v>25</v>
      </c>
      <c r="G4" s="48">
        <f>B4</f>
        <v>200</v>
      </c>
      <c r="H4" s="53" t="str">
        <f>C4</f>
        <v>per second</v>
      </c>
    </row>
    <row r="5" spans="1:8" x14ac:dyDescent="0.2">
      <c r="A5" t="s">
        <v>7</v>
      </c>
      <c r="B5" s="9" t="s">
        <v>8</v>
      </c>
      <c r="C5" s="24"/>
      <c r="F5" s="52" t="s">
        <v>66</v>
      </c>
      <c r="G5" s="62">
        <f>IFERROR(IF(B5="no", ROUNDUP(B30/1024,0)*G4, ROUNDUP((G4/B6),0)* ROUNDUP((((B28+8)*B6 + B21*IF(B16="single-measure record", (B24+B25+B26), 1) * ((1-B7)*(B6-1) + 1))/1024),0)),0)</f>
        <v>26</v>
      </c>
      <c r="H5" s="53" t="str">
        <f>C4</f>
        <v>per second</v>
      </c>
    </row>
    <row r="6" spans="1:8" ht="17" x14ac:dyDescent="0.2">
      <c r="A6" t="s">
        <v>9</v>
      </c>
      <c r="B6" s="15">
        <v>100</v>
      </c>
      <c r="C6" s="40" t="s">
        <v>29</v>
      </c>
      <c r="F6" s="52" t="s">
        <v>66</v>
      </c>
      <c r="G6" s="62">
        <f>IFERROR(G5*INDEX(ConvertToDay[[#All],[Day]], MATCH(H5, ConvertToDay[[#All],[Unit]], 0)), 0)*30</f>
        <v>67392000</v>
      </c>
      <c r="H6" s="53" t="s">
        <v>15</v>
      </c>
    </row>
    <row r="7" spans="1:8" ht="17" x14ac:dyDescent="0.2">
      <c r="A7" t="s">
        <v>30</v>
      </c>
      <c r="B7" s="17">
        <v>0</v>
      </c>
      <c r="C7" s="24"/>
      <c r="F7" s="52" t="s">
        <v>67</v>
      </c>
      <c r="G7" s="62">
        <f>IFERROR(G6/1000000, 0)</f>
        <v>67.391999999999996</v>
      </c>
      <c r="H7" s="53" t="s">
        <v>15</v>
      </c>
    </row>
    <row r="8" spans="1:8" x14ac:dyDescent="0.2">
      <c r="B8" s="24"/>
      <c r="C8" s="24"/>
      <c r="F8" s="54"/>
      <c r="G8" s="4"/>
      <c r="H8" s="55"/>
    </row>
    <row r="9" spans="1:8" x14ac:dyDescent="0.2">
      <c r="A9" s="2" t="s">
        <v>65</v>
      </c>
      <c r="B9" s="24"/>
      <c r="C9" s="24"/>
      <c r="F9" s="56" t="s">
        <v>65</v>
      </c>
      <c r="G9" s="4"/>
      <c r="H9" s="55"/>
    </row>
    <row r="10" spans="1:8" ht="17" x14ac:dyDescent="0.2">
      <c r="A10" t="s">
        <v>12</v>
      </c>
      <c r="B10" s="15">
        <v>0</v>
      </c>
      <c r="C10" s="8" t="s">
        <v>18</v>
      </c>
      <c r="F10" s="52" t="s">
        <v>25</v>
      </c>
      <c r="G10" s="63">
        <f>B10</f>
        <v>0</v>
      </c>
      <c r="H10" s="53" t="str">
        <f>C10</f>
        <v>per hour</v>
      </c>
    </row>
    <row r="11" spans="1:8" x14ac:dyDescent="0.2">
      <c r="A11" t="s">
        <v>7</v>
      </c>
      <c r="B11" s="9" t="s">
        <v>8</v>
      </c>
      <c r="C11"/>
      <c r="F11" s="52" t="s">
        <v>66</v>
      </c>
      <c r="G11" s="63">
        <f>IFERROR(IF(B11="no", ROUNDUP(B30/1024,0)*G10, ROUNDUP((G10/B12),0)*ROUNDUP( ((B28+8)*B12+(1-B13)*B21*(B12-1)+B21)/1024, 0)),0)</f>
        <v>0</v>
      </c>
      <c r="H11" s="53" t="str">
        <f>C10</f>
        <v>per hour</v>
      </c>
    </row>
    <row r="12" spans="1:8" ht="17" x14ac:dyDescent="0.2">
      <c r="A12" t="s">
        <v>9</v>
      </c>
      <c r="B12" s="15">
        <v>0</v>
      </c>
      <c r="C12" s="39" t="s">
        <v>29</v>
      </c>
      <c r="F12" s="52" t="s">
        <v>66</v>
      </c>
      <c r="G12" s="63">
        <f>IFERROR(G11*INDEX(ConvertToDay[[#All],[Day]], MATCH(H11, ConvertToDay[[#All],[Unit]], 0)), 0)*30</f>
        <v>0</v>
      </c>
      <c r="H12" s="53" t="s">
        <v>15</v>
      </c>
    </row>
    <row r="13" spans="1:8" ht="17" x14ac:dyDescent="0.2">
      <c r="A13" t="s">
        <v>30</v>
      </c>
      <c r="B13" s="17">
        <v>0</v>
      </c>
      <c r="C13"/>
      <c r="F13" s="52" t="s">
        <v>67</v>
      </c>
      <c r="G13" s="63">
        <f>IFERROR(G12/1000000,0)</f>
        <v>0</v>
      </c>
      <c r="H13" s="53" t="s">
        <v>15</v>
      </c>
    </row>
    <row r="14" spans="1:8" x14ac:dyDescent="0.2">
      <c r="B14" s="4"/>
      <c r="C14" s="24"/>
      <c r="F14" s="57"/>
      <c r="G14" s="58"/>
      <c r="H14" s="59"/>
    </row>
    <row r="15" spans="1:8" x14ac:dyDescent="0.2">
      <c r="A15" s="12" t="s">
        <v>63</v>
      </c>
      <c r="B15" s="26"/>
      <c r="C15" s="27"/>
      <c r="D15" s="13"/>
      <c r="F15" s="12"/>
      <c r="G15" s="26"/>
      <c r="H15" s="26"/>
    </row>
    <row r="16" spans="1:8" s="31" customFormat="1" x14ac:dyDescent="0.2">
      <c r="A16" s="2" t="s">
        <v>10</v>
      </c>
      <c r="B16" s="9" t="s">
        <v>83</v>
      </c>
      <c r="C16" s="30"/>
    </row>
    <row r="17" spans="1:4" s="31" customFormat="1" x14ac:dyDescent="0.2">
      <c r="A17" s="32"/>
      <c r="B17" s="29"/>
      <c r="C17" s="30"/>
    </row>
    <row r="18" spans="1:4" x14ac:dyDescent="0.2">
      <c r="A18" s="2" t="s">
        <v>4</v>
      </c>
      <c r="B18" s="4"/>
      <c r="C18" s="24"/>
    </row>
    <row r="19" spans="1:4" ht="18" customHeight="1" x14ac:dyDescent="0.2">
      <c r="A19" t="s">
        <v>0</v>
      </c>
      <c r="B19" s="14">
        <v>3</v>
      </c>
      <c r="C19" s="24"/>
      <c r="D19" s="47" t="s">
        <v>1</v>
      </c>
    </row>
    <row r="20" spans="1:4" ht="17" x14ac:dyDescent="0.2">
      <c r="A20" t="s">
        <v>22</v>
      </c>
      <c r="B20" s="14">
        <v>30</v>
      </c>
      <c r="C20" s="40" t="s">
        <v>11</v>
      </c>
    </row>
    <row r="21" spans="1:4" ht="17" x14ac:dyDescent="0.2">
      <c r="A21" s="10" t="s">
        <v>81</v>
      </c>
      <c r="B21" s="40">
        <f>B19*B20</f>
        <v>90</v>
      </c>
      <c r="C21" s="40" t="s">
        <v>11</v>
      </c>
    </row>
    <row r="22" spans="1:4" x14ac:dyDescent="0.2">
      <c r="B22" s="4"/>
      <c r="C22" s="24"/>
    </row>
    <row r="23" spans="1:4" s="31" customFormat="1" x14ac:dyDescent="0.2">
      <c r="A23" s="28" t="s">
        <v>2</v>
      </c>
      <c r="B23" s="29"/>
      <c r="C23" s="30"/>
    </row>
    <row r="24" spans="1:4" ht="40" customHeight="1" x14ac:dyDescent="0.2">
      <c r="A24" s="45" t="s">
        <v>3</v>
      </c>
      <c r="B24" s="46">
        <v>4</v>
      </c>
      <c r="C24" s="40"/>
      <c r="D24" s="38" t="s">
        <v>90</v>
      </c>
    </row>
    <row r="25" spans="1:4" x14ac:dyDescent="0.2">
      <c r="A25" t="s">
        <v>5</v>
      </c>
      <c r="B25" s="14">
        <v>0</v>
      </c>
      <c r="C25" s="40"/>
    </row>
    <row r="26" spans="1:4" x14ac:dyDescent="0.2">
      <c r="A26" t="s">
        <v>6</v>
      </c>
      <c r="B26" s="14">
        <v>0</v>
      </c>
    </row>
    <row r="27" spans="1:4" ht="17" x14ac:dyDescent="0.2">
      <c r="A27" t="s">
        <v>23</v>
      </c>
      <c r="B27" s="14">
        <v>0</v>
      </c>
      <c r="C27" s="40" t="s">
        <v>11</v>
      </c>
    </row>
    <row r="28" spans="1:4" ht="17" x14ac:dyDescent="0.2">
      <c r="A28" s="10" t="s">
        <v>82</v>
      </c>
      <c r="B28" s="40">
        <f xml:space="preserve"> B24*8 + B25 + B26*B27</f>
        <v>32</v>
      </c>
      <c r="C28" s="40" t="s">
        <v>11</v>
      </c>
    </row>
    <row r="29" spans="1:4" x14ac:dyDescent="0.2">
      <c r="B29" s="4"/>
      <c r="C29" s="24"/>
    </row>
    <row r="30" spans="1:4" ht="17" x14ac:dyDescent="0.2">
      <c r="A30" s="36" t="s">
        <v>24</v>
      </c>
      <c r="B30" s="34">
        <f>IF(B28&gt; 0, 8+B28+IF(B16="single-measure record", (B24+B25+B26)*B21, B21), 0)</f>
        <v>130</v>
      </c>
      <c r="C30" s="35" t="s">
        <v>11</v>
      </c>
      <c r="D30" s="31"/>
    </row>
    <row r="31" spans="1:4" x14ac:dyDescent="0.2">
      <c r="A31" s="12"/>
      <c r="B31" s="26"/>
      <c r="C31" s="27"/>
      <c r="D31" s="13"/>
    </row>
  </sheetData>
  <sheetProtection algorithmName="SHA-512" hashValue="0ursZpECoqq0d1EjsIKxfUph8Xy41RkbUeB00CxsQrzt2nfEMEgVQK1kFFVjP6Bp1bLNmdHlO82mK8xYNurSvw==" saltValue="Bphp3Lepul+7Ww0GESxPwQ==" spinCount="100000" sheet="1" selectLockedCells="1"/>
  <dataValidations count="5">
    <dataValidation type="list" allowBlank="1" showInputMessage="1" showErrorMessage="1" sqref="B5 B11" xr:uid="{3E370488-A950-7745-9694-7F1B320B1689}">
      <formula1>"yes, no"</formula1>
    </dataValidation>
    <dataValidation type="list" allowBlank="1" showInputMessage="1" showErrorMessage="1" sqref="B16" xr:uid="{632D889D-2A6A-7944-AEE7-2216C2BDC177}">
      <formula1>"single-measure record, multi-measure record"</formula1>
    </dataValidation>
    <dataValidation type="whole" operator="greaterThanOrEqual" allowBlank="1" showInputMessage="1" showErrorMessage="1" sqref="B4 B10 B12 B19" xr:uid="{931893F2-96A1-DE4F-8140-E1F08AC2295C}">
      <formula1>0</formula1>
    </dataValidation>
    <dataValidation type="whole" allowBlank="1" showInputMessage="1" showErrorMessage="1" sqref="B6" xr:uid="{4ED668AD-04E8-2A4C-86BD-757F7C75AF6C}">
      <formula1>0</formula1>
      <formula2>100</formula2>
    </dataValidation>
    <dataValidation type="decimal" allowBlank="1" showInputMessage="1" showErrorMessage="1" sqref="B7 B13" xr:uid="{BB0F76D9-816C-CE4E-979F-BD5DF9D11FEB}">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40D0B37-1171-4A42-9C53-3AB61A4F61DC}">
          <x14:formula1>
            <xm:f>'Conversion table'!$A$3:$A$8</xm:f>
          </x14:formula1>
          <xm:sqref>C4</xm:sqref>
        </x14:dataValidation>
        <x14:dataValidation type="list" allowBlank="1" showInputMessage="1" showErrorMessage="1" xr:uid="{D3E6EF49-0CB2-C74E-A0EE-1C79C6841767}">
          <x14:formula1>
            <xm:f>'Conversion table'!$X$3:$X$6</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A8BB1-0012-3747-A538-1D8376AB4723}">
  <dimension ref="A2:E30"/>
  <sheetViews>
    <sheetView zoomScale="160" zoomScaleNormal="160" workbookViewId="0">
      <selection activeCell="E8" sqref="E8:E9"/>
    </sheetView>
  </sheetViews>
  <sheetFormatPr baseColWidth="10" defaultRowHeight="16" x14ac:dyDescent="0.2"/>
  <cols>
    <col min="1" max="2" width="18.1640625" bestFit="1" customWidth="1"/>
    <col min="5" max="5" width="22" customWidth="1"/>
  </cols>
  <sheetData>
    <row r="2" spans="1:5" x14ac:dyDescent="0.2">
      <c r="A2" t="s">
        <v>54</v>
      </c>
      <c r="B2" t="s">
        <v>53</v>
      </c>
      <c r="C2" t="s">
        <v>52</v>
      </c>
      <c r="E2" s="23" t="s">
        <v>51</v>
      </c>
    </row>
    <row r="3" spans="1:5" x14ac:dyDescent="0.2">
      <c r="A3" t="s">
        <v>50</v>
      </c>
      <c r="B3" s="19" t="s">
        <v>26</v>
      </c>
      <c r="C3" s="18">
        <v>0.5</v>
      </c>
      <c r="E3" s="22" t="s">
        <v>50</v>
      </c>
    </row>
    <row r="4" spans="1:5" x14ac:dyDescent="0.2">
      <c r="A4" t="s">
        <v>50</v>
      </c>
      <c r="B4" s="19" t="s">
        <v>57</v>
      </c>
      <c r="C4" s="18">
        <v>3.5999999999999997E-2</v>
      </c>
      <c r="E4" s="21" t="s">
        <v>49</v>
      </c>
    </row>
    <row r="5" spans="1:5" x14ac:dyDescent="0.2">
      <c r="A5" t="s">
        <v>50</v>
      </c>
      <c r="B5" s="19" t="s">
        <v>58</v>
      </c>
      <c r="C5" s="18">
        <v>0.03</v>
      </c>
      <c r="E5" s="21" t="s">
        <v>48</v>
      </c>
    </row>
    <row r="6" spans="1:5" x14ac:dyDescent="0.2">
      <c r="A6" t="s">
        <v>50</v>
      </c>
      <c r="B6" s="19" t="s">
        <v>36</v>
      </c>
      <c r="C6" s="18">
        <v>0.01</v>
      </c>
      <c r="E6" s="20" t="s">
        <v>47</v>
      </c>
    </row>
    <row r="7" spans="1:5" x14ac:dyDescent="0.2">
      <c r="A7" t="s">
        <v>49</v>
      </c>
      <c r="B7" s="19" t="s">
        <v>26</v>
      </c>
      <c r="C7" s="18">
        <v>0.5</v>
      </c>
      <c r="E7" s="5" t="s">
        <v>62</v>
      </c>
    </row>
    <row r="8" spans="1:5" x14ac:dyDescent="0.2">
      <c r="A8" t="s">
        <v>49</v>
      </c>
      <c r="B8" s="19" t="s">
        <v>57</v>
      </c>
      <c r="C8" s="18">
        <v>3.5999999999999997E-2</v>
      </c>
      <c r="E8" s="91" t="s">
        <v>95</v>
      </c>
    </row>
    <row r="9" spans="1:5" ht="17" x14ac:dyDescent="0.2">
      <c r="A9" t="s">
        <v>49</v>
      </c>
      <c r="B9" s="19" t="s">
        <v>58</v>
      </c>
      <c r="C9" s="18">
        <v>0.03</v>
      </c>
      <c r="E9" s="92" t="s">
        <v>96</v>
      </c>
    </row>
    <row r="10" spans="1:5" x14ac:dyDescent="0.2">
      <c r="A10" t="s">
        <v>49</v>
      </c>
      <c r="B10" s="19" t="s">
        <v>36</v>
      </c>
      <c r="C10" s="18">
        <v>0.01</v>
      </c>
    </row>
    <row r="11" spans="1:5" x14ac:dyDescent="0.2">
      <c r="A11" t="s">
        <v>48</v>
      </c>
      <c r="B11" s="19" t="s">
        <v>26</v>
      </c>
      <c r="C11" s="18">
        <v>0.5</v>
      </c>
    </row>
    <row r="12" spans="1:5" x14ac:dyDescent="0.2">
      <c r="A12" t="s">
        <v>48</v>
      </c>
      <c r="B12" s="19" t="s">
        <v>57</v>
      </c>
      <c r="C12" s="18">
        <v>3.5999999999999997E-2</v>
      </c>
    </row>
    <row r="13" spans="1:5" x14ac:dyDescent="0.2">
      <c r="A13" t="s">
        <v>48</v>
      </c>
      <c r="B13" s="19" t="s">
        <v>58</v>
      </c>
      <c r="C13" s="18">
        <v>0.03</v>
      </c>
    </row>
    <row r="14" spans="1:5" x14ac:dyDescent="0.2">
      <c r="A14" t="s">
        <v>48</v>
      </c>
      <c r="B14" s="19" t="s">
        <v>36</v>
      </c>
      <c r="C14" s="18">
        <v>0.01</v>
      </c>
    </row>
    <row r="15" spans="1:5" x14ac:dyDescent="0.2">
      <c r="A15" t="s">
        <v>47</v>
      </c>
      <c r="B15" s="19" t="s">
        <v>26</v>
      </c>
      <c r="C15" s="18">
        <v>0.56540000000000001</v>
      </c>
    </row>
    <row r="16" spans="1:5" x14ac:dyDescent="0.2">
      <c r="A16" t="s">
        <v>47</v>
      </c>
      <c r="B16" s="19" t="s">
        <v>57</v>
      </c>
      <c r="C16" s="18">
        <v>4.07E-2</v>
      </c>
    </row>
    <row r="17" spans="1:3" x14ac:dyDescent="0.2">
      <c r="A17" t="s">
        <v>47</v>
      </c>
      <c r="B17" s="19" t="s">
        <v>58</v>
      </c>
      <c r="C17" s="18">
        <v>3.39E-2</v>
      </c>
    </row>
    <row r="18" spans="1:3" x14ac:dyDescent="0.2">
      <c r="A18" t="s">
        <v>47</v>
      </c>
      <c r="B18" s="19" t="s">
        <v>36</v>
      </c>
      <c r="C18" s="18">
        <v>1.1379999999999999E-2</v>
      </c>
    </row>
    <row r="19" spans="1:3" x14ac:dyDescent="0.2">
      <c r="A19" t="s">
        <v>62</v>
      </c>
      <c r="B19" s="19" t="s">
        <v>26</v>
      </c>
      <c r="C19" s="18">
        <v>0.60350000000000004</v>
      </c>
    </row>
    <row r="20" spans="1:3" x14ac:dyDescent="0.2">
      <c r="A20" t="s">
        <v>62</v>
      </c>
      <c r="B20" s="19" t="s">
        <v>57</v>
      </c>
      <c r="C20" s="18">
        <v>4.3400000000000001E-2</v>
      </c>
    </row>
    <row r="21" spans="1:3" x14ac:dyDescent="0.2">
      <c r="A21" t="s">
        <v>62</v>
      </c>
      <c r="B21" s="19" t="s">
        <v>58</v>
      </c>
      <c r="C21" s="18">
        <v>3.6200000000000003E-2</v>
      </c>
    </row>
    <row r="22" spans="1:3" x14ac:dyDescent="0.2">
      <c r="A22" t="s">
        <v>62</v>
      </c>
      <c r="B22" s="19" t="s">
        <v>36</v>
      </c>
      <c r="C22" s="18">
        <v>1.2E-2</v>
      </c>
    </row>
    <row r="23" spans="1:3" x14ac:dyDescent="0.2">
      <c r="A23" s="91" t="s">
        <v>95</v>
      </c>
      <c r="B23" s="19" t="s">
        <v>26</v>
      </c>
      <c r="C23" s="95">
        <v>0.60350000000000004</v>
      </c>
    </row>
    <row r="24" spans="1:3" x14ac:dyDescent="0.2">
      <c r="A24" s="93" t="s">
        <v>95</v>
      </c>
      <c r="B24" s="19" t="s">
        <v>57</v>
      </c>
      <c r="C24" s="95">
        <v>4.3400000000000001E-2</v>
      </c>
    </row>
    <row r="25" spans="1:3" x14ac:dyDescent="0.2">
      <c r="A25" s="91" t="s">
        <v>95</v>
      </c>
      <c r="B25" s="19" t="s">
        <v>58</v>
      </c>
      <c r="C25" s="95">
        <v>3.6200000000000003E-2</v>
      </c>
    </row>
    <row r="26" spans="1:3" x14ac:dyDescent="0.2">
      <c r="A26" s="93" t="s">
        <v>95</v>
      </c>
      <c r="B26" s="19" t="s">
        <v>36</v>
      </c>
      <c r="C26" s="18">
        <v>1.2E-2</v>
      </c>
    </row>
    <row r="27" spans="1:3" ht="17" x14ac:dyDescent="0.2">
      <c r="A27" s="92" t="s">
        <v>96</v>
      </c>
      <c r="B27" s="19" t="s">
        <v>26</v>
      </c>
      <c r="C27" s="18">
        <v>0.625</v>
      </c>
    </row>
    <row r="28" spans="1:3" ht="17" x14ac:dyDescent="0.2">
      <c r="A28" s="94" t="s">
        <v>96</v>
      </c>
      <c r="B28" s="19" t="s">
        <v>57</v>
      </c>
      <c r="C28" s="18">
        <v>4.4999999999999998E-2</v>
      </c>
    </row>
    <row r="29" spans="1:3" ht="17" x14ac:dyDescent="0.2">
      <c r="A29" s="92" t="s">
        <v>96</v>
      </c>
      <c r="B29" s="19" t="s">
        <v>58</v>
      </c>
      <c r="C29" s="95">
        <v>3.7499999999999999E-2</v>
      </c>
    </row>
    <row r="30" spans="1:3" ht="17" x14ac:dyDescent="0.2">
      <c r="A30" s="94" t="s">
        <v>96</v>
      </c>
      <c r="B30" s="19" t="s">
        <v>36</v>
      </c>
      <c r="C30" s="95">
        <v>1.2500000000000001E-2</v>
      </c>
    </row>
  </sheetData>
  <sheetProtection algorithmName="SHA-512" hashValue="usP/txaSJw7J3eMmTn2hv4fWsWDPX9Bmj760O9vGjZ3chQL19C++1s7bIvRbCMQxjLf9MmdgZ31EbZyHnt4Avw==" saltValue="88Rqr47+jH8p574YMC1daQ==" spinCount="100000" sheet="1" objects="1" scenarios="1" selectLockedCells="1" selectUnlockedCells="1"/>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B460F-522F-C141-99EF-DA3D3F07FDC5}">
  <dimension ref="A2:AA26"/>
  <sheetViews>
    <sheetView workbookViewId="0">
      <selection activeCell="Z15" sqref="Z15"/>
    </sheetView>
  </sheetViews>
  <sheetFormatPr baseColWidth="10" defaultRowHeight="16" x14ac:dyDescent="0.2"/>
  <cols>
    <col min="1" max="1" width="10.1640625" bestFit="1" customWidth="1"/>
    <col min="2" max="3" width="17.83203125" customWidth="1"/>
    <col min="5" max="5" width="17.83203125" customWidth="1"/>
    <col min="8" max="8" width="18" bestFit="1" customWidth="1"/>
    <col min="20" max="20" width="17.1640625" bestFit="1" customWidth="1"/>
    <col min="22" max="22" width="12.1640625" bestFit="1" customWidth="1"/>
    <col min="27" max="27" width="69.83203125" bestFit="1" customWidth="1"/>
  </cols>
  <sheetData>
    <row r="2" spans="1:27" x14ac:dyDescent="0.2">
      <c r="A2" t="s">
        <v>21</v>
      </c>
      <c r="B2" t="s">
        <v>43</v>
      </c>
      <c r="C2" t="s">
        <v>44</v>
      </c>
      <c r="E2" t="s">
        <v>21</v>
      </c>
      <c r="F2" t="s">
        <v>45</v>
      </c>
      <c r="H2" t="s">
        <v>21</v>
      </c>
      <c r="I2" t="s">
        <v>44</v>
      </c>
      <c r="K2" t="s">
        <v>21</v>
      </c>
      <c r="L2" t="s">
        <v>43</v>
      </c>
      <c r="N2" t="s">
        <v>21</v>
      </c>
      <c r="O2" t="s">
        <v>16</v>
      </c>
      <c r="Q2" t="s">
        <v>21</v>
      </c>
      <c r="R2" t="s">
        <v>43</v>
      </c>
      <c r="T2" t="s">
        <v>13</v>
      </c>
      <c r="U2" t="s">
        <v>71</v>
      </c>
      <c r="V2" t="s">
        <v>72</v>
      </c>
      <c r="X2" t="s">
        <v>21</v>
      </c>
      <c r="Y2" t="s">
        <v>43</v>
      </c>
      <c r="AA2" t="s">
        <v>68</v>
      </c>
    </row>
    <row r="3" spans="1:27" x14ac:dyDescent="0.2">
      <c r="A3" t="s">
        <v>20</v>
      </c>
      <c r="B3">
        <v>86400</v>
      </c>
      <c r="C3">
        <f>ConvertToDay[[#This Row],[Day]]/24</f>
        <v>3600</v>
      </c>
      <c r="E3" t="s">
        <v>17</v>
      </c>
      <c r="F3">
        <v>30</v>
      </c>
      <c r="H3" t="s">
        <v>40</v>
      </c>
      <c r="I3">
        <v>1</v>
      </c>
      <c r="K3" t="s">
        <v>41</v>
      </c>
      <c r="L3">
        <f>1</f>
        <v>1</v>
      </c>
      <c r="N3" t="s">
        <v>46</v>
      </c>
      <c r="O3">
        <v>1440</v>
      </c>
      <c r="Q3" t="s">
        <v>19</v>
      </c>
      <c r="R3">
        <v>1440</v>
      </c>
      <c r="T3" t="s">
        <v>20</v>
      </c>
      <c r="U3" t="s">
        <v>46</v>
      </c>
      <c r="V3">
        <v>60</v>
      </c>
      <c r="X3" t="s">
        <v>18</v>
      </c>
      <c r="Y3">
        <v>24</v>
      </c>
      <c r="AA3" t="s">
        <v>69</v>
      </c>
    </row>
    <row r="4" spans="1:27" x14ac:dyDescent="0.2">
      <c r="A4" t="s">
        <v>19</v>
      </c>
      <c r="B4">
        <v>1440</v>
      </c>
      <c r="C4">
        <f>ConvertToDay[[#This Row],[Day]]/24</f>
        <v>60</v>
      </c>
      <c r="E4" t="s">
        <v>15</v>
      </c>
      <c r="F4">
        <v>1</v>
      </c>
      <c r="H4" t="s">
        <v>41</v>
      </c>
      <c r="I4">
        <v>24</v>
      </c>
      <c r="K4" t="s">
        <v>42</v>
      </c>
      <c r="L4">
        <v>30</v>
      </c>
      <c r="N4" t="s">
        <v>40</v>
      </c>
      <c r="O4" s="6">
        <v>24</v>
      </c>
      <c r="Q4" t="s">
        <v>18</v>
      </c>
      <c r="R4">
        <v>24</v>
      </c>
      <c r="T4" t="s">
        <v>19</v>
      </c>
      <c r="U4" t="s">
        <v>46</v>
      </c>
      <c r="V4">
        <v>1</v>
      </c>
      <c r="X4" t="s">
        <v>17</v>
      </c>
      <c r="Y4">
        <v>1</v>
      </c>
      <c r="AA4" t="s">
        <v>77</v>
      </c>
    </row>
    <row r="5" spans="1:27" x14ac:dyDescent="0.2">
      <c r="A5" t="s">
        <v>18</v>
      </c>
      <c r="B5">
        <v>24</v>
      </c>
      <c r="C5">
        <f>ConvertToDay[[#This Row],[Day]]/24</f>
        <v>1</v>
      </c>
      <c r="E5" t="s">
        <v>14</v>
      </c>
      <c r="F5">
        <f>30/7</f>
        <v>4.2857142857142856</v>
      </c>
      <c r="H5" t="s">
        <v>42</v>
      </c>
      <c r="I5">
        <f>24*30</f>
        <v>720</v>
      </c>
      <c r="N5" t="s">
        <v>41</v>
      </c>
      <c r="O5">
        <f>1</f>
        <v>1</v>
      </c>
      <c r="Q5" t="s">
        <v>17</v>
      </c>
      <c r="R5">
        <v>1</v>
      </c>
      <c r="T5" t="s">
        <v>18</v>
      </c>
      <c r="U5" t="s">
        <v>46</v>
      </c>
      <c r="V5">
        <f>1/60</f>
        <v>1.6666666666666666E-2</v>
      </c>
      <c r="X5" t="s">
        <v>15</v>
      </c>
      <c r="Y5">
        <f>1/30</f>
        <v>3.3333333333333333E-2</v>
      </c>
    </row>
    <row r="6" spans="1:27" x14ac:dyDescent="0.2">
      <c r="A6" t="s">
        <v>17</v>
      </c>
      <c r="B6">
        <v>1</v>
      </c>
      <c r="C6">
        <f>ConvertToDay[[#This Row],[Day]]/24</f>
        <v>4.1666666666666664E-2</v>
      </c>
      <c r="N6" t="s">
        <v>42</v>
      </c>
      <c r="O6">
        <f>1/30</f>
        <v>3.3333333333333333E-2</v>
      </c>
      <c r="Q6" t="s">
        <v>15</v>
      </c>
      <c r="R6">
        <f>1/30</f>
        <v>3.3333333333333333E-2</v>
      </c>
      <c r="T6" t="s">
        <v>17</v>
      </c>
      <c r="U6" t="s">
        <v>46</v>
      </c>
      <c r="V6">
        <f>1/(24*60)</f>
        <v>6.9444444444444447E-4</v>
      </c>
      <c r="X6" t="s">
        <v>14</v>
      </c>
      <c r="Y6">
        <f>1/7</f>
        <v>0.14285714285714285</v>
      </c>
    </row>
    <row r="7" spans="1:27" x14ac:dyDescent="0.2">
      <c r="A7" t="s">
        <v>15</v>
      </c>
      <c r="B7">
        <f>1/30</f>
        <v>3.3333333333333333E-2</v>
      </c>
      <c r="C7">
        <f>ConvertToDay[[#This Row],[Day]]/24</f>
        <v>1.3888888888888889E-3</v>
      </c>
      <c r="Q7" t="s">
        <v>14</v>
      </c>
      <c r="R7">
        <f>1/7</f>
        <v>0.14285714285714285</v>
      </c>
      <c r="T7" t="s">
        <v>15</v>
      </c>
      <c r="U7" t="s">
        <v>46</v>
      </c>
      <c r="V7">
        <f>1/(24*60*30)</f>
        <v>2.3148148148148147E-5</v>
      </c>
    </row>
    <row r="8" spans="1:27" x14ac:dyDescent="0.2">
      <c r="A8" t="s">
        <v>14</v>
      </c>
      <c r="B8">
        <f>1/7</f>
        <v>0.14285714285714285</v>
      </c>
      <c r="C8">
        <f>ConvertToDay[[#This Row],[Day]]/24</f>
        <v>5.9523809523809521E-3</v>
      </c>
      <c r="T8" t="s">
        <v>14</v>
      </c>
      <c r="U8" t="s">
        <v>46</v>
      </c>
      <c r="V8">
        <f>1/(24*60*7)</f>
        <v>9.9206349206349206E-5</v>
      </c>
    </row>
    <row r="9" spans="1:27" x14ac:dyDescent="0.2">
      <c r="T9" t="s">
        <v>20</v>
      </c>
      <c r="U9" t="s">
        <v>40</v>
      </c>
      <c r="V9" s="7">
        <f>60*60</f>
        <v>3600</v>
      </c>
    </row>
    <row r="10" spans="1:27" x14ac:dyDescent="0.2">
      <c r="T10" t="s">
        <v>19</v>
      </c>
      <c r="U10" t="s">
        <v>40</v>
      </c>
      <c r="V10" s="7">
        <v>60</v>
      </c>
    </row>
    <row r="11" spans="1:27" x14ac:dyDescent="0.2">
      <c r="T11" t="s">
        <v>18</v>
      </c>
      <c r="U11" t="s">
        <v>40</v>
      </c>
      <c r="V11" s="7">
        <v>1</v>
      </c>
    </row>
    <row r="12" spans="1:27" x14ac:dyDescent="0.2">
      <c r="T12" t="s">
        <v>17</v>
      </c>
      <c r="U12" t="s">
        <v>40</v>
      </c>
      <c r="V12" s="7">
        <f>1/24</f>
        <v>4.1666666666666664E-2</v>
      </c>
    </row>
    <row r="13" spans="1:27" x14ac:dyDescent="0.2">
      <c r="T13" t="s">
        <v>15</v>
      </c>
      <c r="U13" t="s">
        <v>40</v>
      </c>
      <c r="V13" s="7">
        <f>1/(24*30)</f>
        <v>1.3888888888888889E-3</v>
      </c>
    </row>
    <row r="14" spans="1:27" x14ac:dyDescent="0.2">
      <c r="T14" t="s">
        <v>14</v>
      </c>
      <c r="U14" t="s">
        <v>40</v>
      </c>
      <c r="V14" s="7">
        <f>1/(24*7)</f>
        <v>5.9523809523809521E-3</v>
      </c>
    </row>
    <row r="15" spans="1:27" x14ac:dyDescent="0.2">
      <c r="T15" t="s">
        <v>20</v>
      </c>
      <c r="U15" t="s">
        <v>41</v>
      </c>
      <c r="V15" s="7">
        <f>24*60*60</f>
        <v>86400</v>
      </c>
    </row>
    <row r="16" spans="1:27" x14ac:dyDescent="0.2">
      <c r="T16" t="s">
        <v>19</v>
      </c>
      <c r="U16" t="s">
        <v>41</v>
      </c>
      <c r="V16" s="7">
        <f>24*60</f>
        <v>1440</v>
      </c>
    </row>
    <row r="17" spans="20:22" x14ac:dyDescent="0.2">
      <c r="T17" t="s">
        <v>18</v>
      </c>
      <c r="U17" t="s">
        <v>41</v>
      </c>
      <c r="V17" s="7">
        <f>60</f>
        <v>60</v>
      </c>
    </row>
    <row r="18" spans="20:22" x14ac:dyDescent="0.2">
      <c r="T18" t="s">
        <v>17</v>
      </c>
      <c r="U18" t="s">
        <v>41</v>
      </c>
      <c r="V18" s="7">
        <v>1</v>
      </c>
    </row>
    <row r="19" spans="20:22" x14ac:dyDescent="0.2">
      <c r="T19" t="s">
        <v>15</v>
      </c>
      <c r="U19" t="s">
        <v>41</v>
      </c>
      <c r="V19" s="7">
        <f>1/30</f>
        <v>3.3333333333333333E-2</v>
      </c>
    </row>
    <row r="20" spans="20:22" x14ac:dyDescent="0.2">
      <c r="T20" t="s">
        <v>14</v>
      </c>
      <c r="U20" t="s">
        <v>41</v>
      </c>
      <c r="V20" s="7">
        <f>1/7</f>
        <v>0.14285714285714285</v>
      </c>
    </row>
    <row r="21" spans="20:22" x14ac:dyDescent="0.2">
      <c r="T21" t="s">
        <v>20</v>
      </c>
      <c r="U21" t="s">
        <v>42</v>
      </c>
      <c r="V21" s="7">
        <f>60*60*24*30</f>
        <v>2592000</v>
      </c>
    </row>
    <row r="22" spans="20:22" x14ac:dyDescent="0.2">
      <c r="T22" t="s">
        <v>19</v>
      </c>
      <c r="U22" t="s">
        <v>42</v>
      </c>
      <c r="V22" s="7">
        <f>60*24*30</f>
        <v>43200</v>
      </c>
    </row>
    <row r="23" spans="20:22" x14ac:dyDescent="0.2">
      <c r="T23" t="s">
        <v>18</v>
      </c>
      <c r="U23" t="s">
        <v>42</v>
      </c>
      <c r="V23" s="7">
        <f>24*30</f>
        <v>720</v>
      </c>
    </row>
    <row r="24" spans="20:22" x14ac:dyDescent="0.2">
      <c r="T24" t="s">
        <v>17</v>
      </c>
      <c r="U24" t="s">
        <v>42</v>
      </c>
      <c r="V24" s="7">
        <f>30</f>
        <v>30</v>
      </c>
    </row>
    <row r="25" spans="20:22" x14ac:dyDescent="0.2">
      <c r="T25" t="s">
        <v>15</v>
      </c>
      <c r="U25" t="s">
        <v>42</v>
      </c>
      <c r="V25" s="7">
        <f>1</f>
        <v>1</v>
      </c>
    </row>
    <row r="26" spans="20:22" x14ac:dyDescent="0.2">
      <c r="T26" t="s">
        <v>14</v>
      </c>
      <c r="U26" t="s">
        <v>42</v>
      </c>
      <c r="V26" s="7">
        <f>30/7</f>
        <v>4.2857142857142856</v>
      </c>
    </row>
  </sheetData>
  <sheetProtection algorithmName="SHA-512" hashValue="ok5fg/vrNoYoJyYhSy4FJ7w7tn7zZwMQFi4HSS5rsAnB1mOs4zVMp0QFfzh+PJupTd3R/BX7O2u8kFo2tvUAbA==" saltValue="h3AsT+uIhH5/ewK/rVgl3w==" spinCount="100000" sheet="1" objects="1" scenarios="1" selectLockedCells="1" selectUnlockedCells="1"/>
  <pageMargins left="0.7" right="0.7" top="0.75" bottom="0.75" header="0.3" footer="0.3"/>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Pricing estimator</vt:lpstr>
      <vt:lpstr>Writes estimator</vt:lpstr>
      <vt:lpstr>Cost</vt:lpstr>
      <vt:lpstr>Conversion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2021-10-12T17:58:31Z</dcterms:created>
  <dcterms:modified xsi:type="dcterms:W3CDTF">2022-07-05T20:13:45Z</dcterms:modified>
</cp:coreProperties>
</file>